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F:\Dropbox\Wall Panell\PIReport\ExcelTool\"/>
    </mc:Choice>
  </mc:AlternateContent>
  <xr:revisionPtr revIDLastSave="0" documentId="8_{420E506E-0B47-4D46-A086-26EC374E9809}" xr6:coauthVersionLast="28" xr6:coauthVersionMax="28" xr10:uidLastSave="{00000000-0000-0000-0000-000000000000}"/>
  <bookViews>
    <workbookView xWindow="0" yWindow="0" windowWidth="11970" windowHeight="4755" xr2:uid="{00000000-000D-0000-FFFF-FFFF00000000}"/>
  </bookViews>
  <sheets>
    <sheet name="Instructions" sheetId="5" r:id="rId1"/>
    <sheet name="InputSheet" sheetId="1" r:id="rId2"/>
    <sheet name="DataBase" sheetId="4" r:id="rId3"/>
  </sheets>
  <definedNames>
    <definedName name="College">DataBase!$O$117:$O$119</definedName>
    <definedName name="Prices">DataBase!$P$116:$R$116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3" i="4" l="1"/>
  <c r="C90" i="4"/>
  <c r="C89" i="4"/>
  <c r="C85" i="4"/>
  <c r="C56" i="4"/>
  <c r="C55" i="4"/>
  <c r="C62" i="4" s="1"/>
  <c r="C40" i="4"/>
  <c r="C38" i="4"/>
  <c r="C36" i="4"/>
  <c r="C30" i="4"/>
  <c r="C34" i="4" s="1"/>
  <c r="C42" i="4" s="1"/>
  <c r="C28" i="4"/>
  <c r="C58" i="4" l="1"/>
  <c r="C70" i="4" s="1"/>
  <c r="C72" i="4" s="1"/>
  <c r="C91" i="4"/>
  <c r="C92" i="4" s="1"/>
  <c r="I72" i="4"/>
  <c r="I76" i="4" s="1"/>
  <c r="E24" i="1"/>
  <c r="C41" i="4"/>
  <c r="C43" i="4" s="1"/>
  <c r="C44" i="4" s="1"/>
  <c r="C46" i="4" s="1"/>
  <c r="C48" i="4" s="1"/>
  <c r="C59" i="4"/>
  <c r="C61" i="4" s="1"/>
  <c r="C64" i="4" s="1"/>
  <c r="I73" i="4" l="1"/>
  <c r="I78" i="4" s="1"/>
  <c r="C73" i="4"/>
  <c r="C68" i="4"/>
  <c r="I74" i="4"/>
  <c r="I77" i="4" s="1"/>
  <c r="C138" i="4" s="1"/>
  <c r="C74" i="4"/>
  <c r="C139" i="4" s="1"/>
  <c r="F72" i="4"/>
  <c r="F76" i="4" s="1"/>
  <c r="F73" i="4" l="1"/>
  <c r="F78" i="4" s="1"/>
  <c r="F74" i="4"/>
  <c r="F77" i="4" s="1"/>
  <c r="I75" i="4"/>
  <c r="I79" i="4" s="1"/>
  <c r="C75" i="4"/>
  <c r="C87" i="4" s="1"/>
  <c r="C94" i="4" s="1"/>
  <c r="D140" i="4" l="1"/>
  <c r="C140" i="4"/>
  <c r="F75" i="4"/>
  <c r="F87" i="4" s="1"/>
  <c r="F94" i="4" s="1"/>
  <c r="E25" i="1"/>
  <c r="E26" i="1"/>
  <c r="I87" i="4"/>
  <c r="I94" i="4" s="1"/>
  <c r="C97" i="4" l="1"/>
  <c r="C96" i="4"/>
  <c r="F79" i="4"/>
  <c r="C103" i="4" l="1"/>
  <c r="E32" i="1" s="1"/>
  <c r="C104" i="4"/>
  <c r="E33" i="1" s="1"/>
  <c r="D119" i="4" l="1"/>
  <c r="A41" i="1" s="1"/>
  <c r="D120" i="4"/>
  <c r="A42" i="1" s="1"/>
  <c r="D128" i="4"/>
  <c r="A50" i="1" s="1"/>
  <c r="D122" i="4"/>
  <c r="A44" i="1" s="1"/>
  <c r="D123" i="4"/>
  <c r="A45" i="1" s="1"/>
  <c r="D124" i="4"/>
  <c r="A46" i="1" s="1"/>
  <c r="D117" i="4"/>
  <c r="A39" i="1" s="1"/>
  <c r="D115" i="4"/>
  <c r="A37" i="1" s="1"/>
  <c r="D118" i="4"/>
  <c r="A40" i="1" s="1"/>
  <c r="D121" i="4"/>
  <c r="A43" i="1" s="1"/>
  <c r="D129" i="4"/>
  <c r="A51" i="1" s="1"/>
  <c r="D130" i="4"/>
  <c r="A52" i="1" s="1"/>
  <c r="D131" i="4"/>
  <c r="A53" i="1" s="1"/>
  <c r="D116" i="4"/>
  <c r="A38" i="1" s="1"/>
  <c r="D132" i="4"/>
  <c r="A54" i="1" s="1"/>
  <c r="D125" i="4"/>
  <c r="A47" i="1" s="1"/>
  <c r="D126" i="4"/>
  <c r="A48" i="1" s="1"/>
  <c r="D127" i="4"/>
  <c r="A49" i="1" s="1"/>
  <c r="E121" i="4"/>
  <c r="B43" i="1" s="1"/>
  <c r="E129" i="4"/>
  <c r="B51" i="1" s="1"/>
  <c r="E122" i="4"/>
  <c r="B44" i="1" s="1"/>
  <c r="E130" i="4"/>
  <c r="B52" i="1" s="1"/>
  <c r="E117" i="4"/>
  <c r="B39" i="1" s="1"/>
  <c r="E125" i="4"/>
  <c r="B47" i="1" s="1"/>
  <c r="E126" i="4"/>
  <c r="B48" i="1" s="1"/>
  <c r="E119" i="4"/>
  <c r="B41" i="1" s="1"/>
  <c r="E123" i="4"/>
  <c r="B45" i="1" s="1"/>
  <c r="E131" i="4"/>
  <c r="B53" i="1" s="1"/>
  <c r="E116" i="4"/>
  <c r="B38" i="1" s="1"/>
  <c r="E124" i="4"/>
  <c r="B46" i="1" s="1"/>
  <c r="E132" i="4"/>
  <c r="B54" i="1" s="1"/>
  <c r="E115" i="4"/>
  <c r="B37" i="1" s="1"/>
  <c r="A218" i="4" s="1"/>
  <c r="E118" i="4"/>
  <c r="B40" i="1" s="1"/>
  <c r="E127" i="4"/>
  <c r="B49" i="1" s="1"/>
  <c r="E120" i="4"/>
  <c r="B42" i="1" s="1"/>
  <c r="A223" i="4" s="1"/>
  <c r="E128" i="4"/>
  <c r="B50" i="1" s="1"/>
  <c r="A233" i="4" l="1"/>
  <c r="A229" i="4"/>
  <c r="A221" i="4"/>
  <c r="A234" i="4"/>
  <c r="A228" i="4"/>
  <c r="A220" i="4"/>
  <c r="A224" i="4"/>
  <c r="A230" i="4"/>
  <c r="A227" i="4"/>
  <c r="A222" i="4"/>
  <c r="A226" i="4"/>
  <c r="A231" i="4"/>
  <c r="A225" i="4"/>
  <c r="A219" i="4"/>
  <c r="A232" i="4"/>
  <c r="C223" i="4" l="1"/>
  <c r="I6" i="1" s="1"/>
</calcChain>
</file>

<file path=xl/sharedStrings.xml><?xml version="1.0" encoding="utf-8"?>
<sst xmlns="http://schemas.openxmlformats.org/spreadsheetml/2006/main" count="175" uniqueCount="138">
  <si>
    <t>S.S.</t>
  </si>
  <si>
    <t>a</t>
  </si>
  <si>
    <t>b</t>
  </si>
  <si>
    <t>c</t>
  </si>
  <si>
    <t>Boundary conditions:</t>
  </si>
  <si>
    <t>Steel area, As:</t>
  </si>
  <si>
    <t>Span, L:</t>
  </si>
  <si>
    <t>Depth, d:</t>
  </si>
  <si>
    <t>Compressive strength, f'c:</t>
  </si>
  <si>
    <t>Response limit, θ:</t>
  </si>
  <si>
    <t>ft</t>
  </si>
  <si>
    <t>degree</t>
  </si>
  <si>
    <t>in</t>
  </si>
  <si>
    <r>
      <t>in</t>
    </r>
    <r>
      <rPr>
        <vertAlign val="superscript"/>
        <sz val="11"/>
        <color theme="1"/>
        <rFont val="Calibri"/>
        <family val="2"/>
        <scheme val="minor"/>
      </rPr>
      <t>2</t>
    </r>
  </si>
  <si>
    <t>psi</t>
  </si>
  <si>
    <r>
      <t xml:space="preserve">Impulse normalized factor, </t>
    </r>
    <r>
      <rPr>
        <sz val="11"/>
        <color theme="1"/>
        <rFont val="Calibri Light"/>
        <family val="2"/>
        <scheme val="major"/>
      </rPr>
      <t>ψ</t>
    </r>
    <r>
      <rPr>
        <vertAlign val="subscript"/>
        <sz val="11"/>
        <color theme="1"/>
        <rFont val="Calibri Light"/>
        <family val="2"/>
        <scheme val="major"/>
      </rPr>
      <t>I</t>
    </r>
  </si>
  <si>
    <r>
      <t xml:space="preserve">Pressure normalized factor, </t>
    </r>
    <r>
      <rPr>
        <sz val="11"/>
        <color theme="1"/>
        <rFont val="Calibri Light"/>
        <family val="2"/>
        <scheme val="major"/>
      </rPr>
      <t>ψ</t>
    </r>
    <r>
      <rPr>
        <vertAlign val="subscript"/>
        <sz val="11"/>
        <color theme="1"/>
        <rFont val="Calibri Light"/>
        <family val="2"/>
        <scheme val="major"/>
      </rPr>
      <t>P</t>
    </r>
  </si>
  <si>
    <r>
      <t>Impulse, I</t>
    </r>
    <r>
      <rPr>
        <vertAlign val="subscript"/>
        <sz val="11"/>
        <color theme="1"/>
        <rFont val="Calibri"/>
        <family val="2"/>
        <scheme val="minor"/>
      </rPr>
      <t>d</t>
    </r>
  </si>
  <si>
    <r>
      <t>Pressure, P</t>
    </r>
    <r>
      <rPr>
        <vertAlign val="subscript"/>
        <sz val="11"/>
        <color theme="1"/>
        <rFont val="Calibri"/>
        <family val="2"/>
        <scheme val="minor"/>
      </rPr>
      <t>d</t>
    </r>
  </si>
  <si>
    <t>psi-ms</t>
  </si>
  <si>
    <t>Impulse</t>
  </si>
  <si>
    <t>Pressure</t>
  </si>
  <si>
    <t>Estimated Reaction Force</t>
  </si>
  <si>
    <t>Plastic Moment Capacity. Mp</t>
  </si>
  <si>
    <t>Fixed Reaction</t>
  </si>
  <si>
    <t>Simple Reaction</t>
  </si>
  <si>
    <t>kip-in</t>
  </si>
  <si>
    <t>Yield Strength of Reinforcement</t>
  </si>
  <si>
    <t>ksi</t>
  </si>
  <si>
    <t>DIF Concrete</t>
  </si>
  <si>
    <t>DIF Steel</t>
  </si>
  <si>
    <t>Notes:</t>
  </si>
  <si>
    <t>Figure 1. slice of a wall cross section</t>
  </si>
  <si>
    <t>+ This is a preliminary design tool for predicting the response of solid reinforced concrete wall panels subjected to blast demands.</t>
  </si>
  <si>
    <t>User info: Fill in yellow cells:</t>
  </si>
  <si>
    <t>+ This tool is not intended to produce a finalize designs approved for construction</t>
  </si>
  <si>
    <t>+ The analysis is performed for a 12" tributary wall width assuming bars are placed at 12" o/c as shown in figure 1.</t>
  </si>
  <si>
    <t>+ The concrete cover was assumed to be 2" o/c throughout.</t>
  </si>
  <si>
    <t>Section Properties</t>
  </si>
  <si>
    <t>Demands and Design Requirement</t>
  </si>
  <si>
    <t>SIF steel</t>
  </si>
  <si>
    <t>Space Pressure-Impulse Results</t>
  </si>
  <si>
    <t>Structural and Material Properties</t>
  </si>
  <si>
    <t>Grey Cells</t>
  </si>
  <si>
    <t>Do Not Change</t>
  </si>
  <si>
    <t>Yellow Cells</t>
  </si>
  <si>
    <t>Enter Data</t>
  </si>
  <si>
    <t>kip/ft</t>
  </si>
  <si>
    <t>Preliminary Reinforced Concrete Panel Blast Design Tool</t>
  </si>
  <si>
    <t>General Overview</t>
  </si>
  <si>
    <t>Version 1.1 (02/23/17)</t>
  </si>
  <si>
    <t>Copyright © 2017</t>
  </si>
  <si>
    <t>This spreadsheet has been prepared by Omar Alawad, Matt Gombeda, Clay Naito and Spencer Quiel of Lehigh University for the preliminary design of precast reinforced concete wall panels subjected to blast loads. This spreadsheet was developed with the support of the Precast/Prestressed Concrete Institute (PCI) Daniel P. Jenny Fellowship.</t>
  </si>
  <si>
    <t>This spreadsheet is intended for use by professional personnel who are competent to evaluate the significance and limitations of its assumptions and computations and who are able to accept responsibility for the application of the results. Actual conditions on any project must be given special consideration and more specific evaluation and engineering judgment may be required that are beyond the intended scope of this spreadsheet. The assumptions and calculations used in this spreadsheet do not necessarily reflect the official views or policies of Lehigh University or PCI.</t>
  </si>
  <si>
    <t>Developed in Microsoft Excel 2016</t>
  </si>
  <si>
    <t>This tool provides a means to conduct a preliminary design of a wall element subjected to blast.  The tool rapidly deteremines an approximate P-I diagram for the wall element chosen and determines if the component is performingy above or below the response limit designated. Based on the section chosen a flexural examination is provided to determine the approximate reaction loads for the wall element.</t>
  </si>
  <si>
    <t>+ Doubly Reinforced with Bars centered at 2 in. from each face</t>
  </si>
  <si>
    <t>+ Non load-bearing (i.e., Axial Load = 0 kip)</t>
  </si>
  <si>
    <t>+ Boundary Conditions: Simple-Simple, Fix-Simple, and Fix-Fix</t>
  </si>
  <si>
    <t>+ Uniform Loading</t>
  </si>
  <si>
    <t>PrecastBlastTool11.xlsx</t>
  </si>
  <si>
    <t>+ Grade 60 Reinforcement</t>
  </si>
  <si>
    <t>gamma</t>
  </si>
  <si>
    <t>cover</t>
  </si>
  <si>
    <t>n</t>
  </si>
  <si>
    <t>bita_one</t>
  </si>
  <si>
    <t>Ig</t>
  </si>
  <si>
    <t>Icr</t>
  </si>
  <si>
    <t>Iav</t>
  </si>
  <si>
    <t>DIFs</t>
  </si>
  <si>
    <t>DIFc</t>
  </si>
  <si>
    <t>Ke</t>
  </si>
  <si>
    <t>Ka</t>
  </si>
  <si>
    <t>fdy</t>
  </si>
  <si>
    <t>fdc</t>
  </si>
  <si>
    <t>es</t>
  </si>
  <si>
    <t>ey</t>
  </si>
  <si>
    <t>state</t>
  </si>
  <si>
    <t>Mdy</t>
  </si>
  <si>
    <t>w_u</t>
  </si>
  <si>
    <t>y1</t>
  </si>
  <si>
    <t>R_u</t>
  </si>
  <si>
    <t>k1</t>
  </si>
  <si>
    <t>A</t>
  </si>
  <si>
    <t>g</t>
  </si>
  <si>
    <t>wC</t>
  </si>
  <si>
    <t>m</t>
  </si>
  <si>
    <t>KLM_e</t>
  </si>
  <si>
    <t>KLM_p</t>
  </si>
  <si>
    <t>y_req</t>
  </si>
  <si>
    <t>E</t>
  </si>
  <si>
    <t>P_min</t>
  </si>
  <si>
    <t>I_min</t>
  </si>
  <si>
    <t>Control</t>
  </si>
  <si>
    <t>Normalizied</t>
  </si>
  <si>
    <t>P_norm</t>
  </si>
  <si>
    <t>I_norm</t>
  </si>
  <si>
    <t>Targeted</t>
  </si>
  <si>
    <t>Es</t>
  </si>
  <si>
    <t>Ec</t>
  </si>
  <si>
    <t>D</t>
  </si>
  <si>
    <t>y_cr</t>
  </si>
  <si>
    <t>SS</t>
  </si>
  <si>
    <t>FF</t>
  </si>
  <si>
    <t>w1</t>
  </si>
  <si>
    <t>w2</t>
  </si>
  <si>
    <t>y2</t>
  </si>
  <si>
    <t>R</t>
  </si>
  <si>
    <t>S.F.</t>
  </si>
  <si>
    <t>F.F.</t>
  </si>
  <si>
    <t>Range of data</t>
  </si>
  <si>
    <t>Simple-Simple</t>
  </si>
  <si>
    <t>Simple-Fixed</t>
  </si>
  <si>
    <t>Fixed-Fixed</t>
  </si>
  <si>
    <t>Response limit, degree</t>
  </si>
  <si>
    <t>Length, ft</t>
  </si>
  <si>
    <r>
      <t>Steel area, in</t>
    </r>
    <r>
      <rPr>
        <vertAlign val="superscript"/>
        <sz val="11"/>
        <color theme="1"/>
        <rFont val="Calibri"/>
        <family val="2"/>
        <scheme val="minor"/>
      </rPr>
      <t>2</t>
    </r>
  </si>
  <si>
    <t>Depth, in</t>
  </si>
  <si>
    <t>Compressive strength, psi</t>
  </si>
  <si>
    <t>R1</t>
  </si>
  <si>
    <t>k2</t>
  </si>
  <si>
    <t>KLM_ep</t>
  </si>
  <si>
    <t>I_min_sel</t>
  </si>
  <si>
    <t>Reaction</t>
  </si>
  <si>
    <t>FS</t>
  </si>
  <si>
    <t>L</t>
  </si>
  <si>
    <t>Check the results</t>
  </si>
  <si>
    <t>a1</t>
  </si>
  <si>
    <t>a2</t>
  </si>
  <si>
    <t>a3</t>
  </si>
  <si>
    <t>Section:</t>
  </si>
  <si>
    <t>PrecastBlastTool11 is still under development and we take no responsibility for the results that it will provide, nor for data loss or other types of damage that it might accidentally cause.</t>
  </si>
  <si>
    <t>The tool was developed for a specific set of limits as noted below:</t>
  </si>
  <si>
    <t>+ Bar sizes are no. 3, 4, 5, 6, 7 and 8.</t>
  </si>
  <si>
    <t>+ Compressive strength is between 4 and 8 ksi</t>
  </si>
  <si>
    <t>+ Span Length is between 8 and 30 ft</t>
  </si>
  <si>
    <t>+ Depth from compression face to tension reinforcement is between 4 and 10 in.</t>
  </si>
  <si>
    <t>+ Properties of component, boundary conditions and response limits must be selected within the set of limits mentioned in instructions sheet. All other inputs are not permissible.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</si>
</sst>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00"/>
  </numFmts>
  <fonts count="25" x14ac:knownFonts="1">
    <font>
      <sz val="11"/>
      <color theme="1"/>
      <name val="Calibri"/>
      <family val="2"/>
      <scheme val="minor"/>
    </font>
    <font>
      <vertAlign val="superscript"/>
      <sz val="11"/>
      <color theme="1"/>
      <name val="Calibri"/>
      <family val="2"/>
      <scheme val="minor"/>
    </font>
    <font>
      <sz val="11"/>
      <color theme="1"/>
      <name val="Calibri Light"/>
      <family val="2"/>
      <scheme val="major"/>
    </font>
    <font>
      <vertAlign val="subscript"/>
      <sz val="11"/>
      <color theme="1"/>
      <name val="Calibri Light"/>
      <family val="2"/>
      <scheme val="major"/>
    </font>
    <font>
      <vertAlign val="subscript"/>
      <sz val="11"/>
      <color theme="1"/>
      <name val="Calibri"/>
      <family val="2"/>
      <scheme val="minor"/>
    </font>
    <font>
      <sz val="11"/>
      <color rgb="FF9C0006"/>
      <name val="Calibri"/>
      <family val="2"/>
      <scheme val="minor"/>
    </font>
    <font>
      <b/>
      <sz val="11"/>
      <color theme="0"/>
      <name val="Calibri"/>
      <family val="2"/>
      <scheme val="minor"/>
    </font>
    <font>
      <sz val="11"/>
      <color rgb="FF006100"/>
      <name val="Calibri"/>
      <family val="2"/>
      <scheme val="minor"/>
    </font>
    <font>
      <sz val="18"/>
      <color rgb="FFFFFF00"/>
      <name val="Calibri"/>
      <family val="2"/>
      <scheme val="minor"/>
    </font>
    <font>
      <i/>
      <sz val="11"/>
      <color theme="1"/>
      <name val="Calibri"/>
      <family val="2"/>
      <scheme val="minor"/>
    </font>
    <font>
      <sz val="12"/>
      <color rgb="FF000000"/>
      <name val="Arial"/>
      <family val="2"/>
    </font>
    <font>
      <i/>
      <sz val="16"/>
      <color theme="1"/>
      <name val="Calibri"/>
      <family val="2"/>
      <scheme val="minor"/>
    </font>
    <font>
      <b/>
      <sz val="18"/>
      <color theme="1"/>
      <name val="Calibri"/>
      <family val="2"/>
      <scheme val="minor"/>
    </font>
    <font>
      <sz val="14"/>
      <color rgb="FF000000"/>
      <name val="Times New Roman"/>
      <family val="1"/>
    </font>
    <font>
      <b/>
      <sz val="14"/>
      <color theme="1"/>
      <name val="Calibri"/>
      <family val="2"/>
      <scheme val="minor"/>
    </font>
    <font>
      <sz val="11"/>
      <color theme="1"/>
      <name val="Calibri"/>
      <family val="2"/>
      <scheme val="minor"/>
    </font>
    <font>
      <sz val="18"/>
      <color rgb="FFFFFF00"/>
      <name val="Calibri"/>
      <family val="2"/>
      <scheme val="minor"/>
    </font>
    <font>
      <sz val="18"/>
      <color rgb="FF9C0006"/>
      <name val="Calibri"/>
      <family val="2"/>
      <scheme val="minor"/>
    </font>
    <font>
      <b/>
      <sz val="12"/>
      <color rgb="FFFFFF00"/>
      <name val="Calibri"/>
      <family val="2"/>
      <scheme val="minor"/>
    </font>
    <font>
      <sz val="11"/>
      <color rgb="FF006100"/>
      <name val="Calibri"/>
      <family val="2"/>
      <scheme val="minor"/>
    </font>
    <font>
      <b/>
      <sz val="12"/>
      <color rgb="FF006100"/>
      <name val="Calibri"/>
      <family val="2"/>
      <scheme val="minor"/>
    </font>
    <font>
      <b/>
      <sz val="12"/>
      <color rgb="FF9C0006"/>
      <name val="Calibri"/>
      <family val="2"/>
      <scheme val="minor"/>
    </font>
    <font>
      <b/>
      <sz val="11"/>
      <color theme="0"/>
      <name val="Calibri"/>
      <family val="2"/>
      <scheme val="minor"/>
    </font>
    <font>
      <sz val="11"/>
      <color theme="1"/>
      <name val="Calibri"/>
      <family val="2"/>
      <scheme val="minor"/>
    </font>
    <font>
      <sz val="11"/>
      <color rgb="FF000000"/>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rgb="FFFFC7CE"/>
      </patternFill>
    </fill>
    <fill>
      <patternFill patternType="solid">
        <fgColor rgb="FFA5A5A5"/>
      </patternFill>
    </fill>
    <fill>
      <patternFill patternType="solid">
        <fgColor theme="0" tint="-0.34998626667073579"/>
        <bgColor indexed="64"/>
      </patternFill>
    </fill>
    <fill>
      <patternFill patternType="solid">
        <fgColor rgb="FFC6EFCE"/>
      </patternFill>
    </fill>
    <fill>
      <patternFill patternType="solid">
        <fgColor theme="1"/>
        <bgColor indexed="64"/>
      </patternFill>
    </fill>
    <fill>
      <patternFill patternType="solid">
        <fgColor rgb="FF996633"/>
        <bgColor indexed="64"/>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3" borderId="0" applyNumberFormat="0" applyBorder="0" applyAlignment="0" applyProtection="0"/>
    <xf numFmtId="0" fontId="6" fillId="4" borderId="1" applyNumberFormat="0" applyAlignment="0" applyProtection="0"/>
    <xf numFmtId="0" fontId="7" fillId="6" borderId="0" applyNumberFormat="0" applyBorder="0" applyAlignment="0" applyProtection="0"/>
  </cellStyleXfs>
  <cellXfs count="72">
    <xf numFmtId="0" fontId="0" fillId="0" borderId="0" xfId="0"/>
    <xf numFmtId="0" fontId="8" fillId="8" borderId="0" xfId="1" applyFont="1" applyFill="1" applyAlignment="1">
      <alignment horizontal="center"/>
    </xf>
    <xf numFmtId="0" fontId="8" fillId="0" borderId="0" xfId="1" applyFont="1" applyFill="1" applyAlignment="1"/>
    <xf numFmtId="0" fontId="0" fillId="0" borderId="0" xfId="0" applyFill="1"/>
    <xf numFmtId="0" fontId="9" fillId="9" borderId="11" xfId="0" applyFont="1" applyFill="1" applyBorder="1"/>
    <xf numFmtId="0" fontId="0" fillId="9" borderId="0" xfId="0" applyFill="1"/>
    <xf numFmtId="0" fontId="12" fillId="10" borderId="0" xfId="0" applyFont="1" applyFill="1" applyAlignment="1">
      <alignment horizontal="center"/>
    </xf>
    <xf numFmtId="0" fontId="11" fillId="10" borderId="0" xfId="0" applyFont="1" applyFill="1" applyAlignment="1">
      <alignment horizontal="center"/>
    </xf>
    <xf numFmtId="0" fontId="10" fillId="10" borderId="0" xfId="0" applyFont="1" applyFill="1" applyAlignment="1">
      <alignment horizontal="center" vertical="center" readingOrder="1"/>
    </xf>
    <xf numFmtId="0" fontId="13" fillId="10" borderId="0" xfId="0" applyFont="1" applyFill="1" applyAlignment="1">
      <alignment horizontal="justify" vertical="center" wrapText="1" readingOrder="1"/>
    </xf>
    <xf numFmtId="0" fontId="14" fillId="10" borderId="0" xfId="0" applyFont="1" applyFill="1"/>
    <xf numFmtId="0" fontId="13" fillId="10" borderId="0" xfId="0" quotePrefix="1" applyFont="1" applyFill="1" applyAlignment="1">
      <alignment horizontal="justify" vertical="center" wrapText="1" readingOrder="1"/>
    </xf>
    <xf numFmtId="0" fontId="15" fillId="0" borderId="0" xfId="0" applyFont="1"/>
    <xf numFmtId="0" fontId="17" fillId="0" borderId="0" xfId="1" applyFont="1" applyFill="1" applyAlignment="1"/>
    <xf numFmtId="0" fontId="15" fillId="0" borderId="6" xfId="0" applyFont="1" applyBorder="1"/>
    <xf numFmtId="0" fontId="15" fillId="0" borderId="0" xfId="0" applyFont="1" applyBorder="1"/>
    <xf numFmtId="0" fontId="15" fillId="2" borderId="0" xfId="0" applyFont="1" applyFill="1" applyBorder="1" applyAlignment="1" applyProtection="1">
      <alignment horizontal="center"/>
      <protection locked="0"/>
    </xf>
    <xf numFmtId="0" fontId="15" fillId="0" borderId="7" xfId="0" applyFont="1" applyBorder="1"/>
    <xf numFmtId="0" fontId="15" fillId="0" borderId="8" xfId="0" applyFont="1" applyBorder="1"/>
    <xf numFmtId="0" fontId="15" fillId="0" borderId="9" xfId="0" applyFont="1" applyBorder="1"/>
    <xf numFmtId="0" fontId="15" fillId="0" borderId="10" xfId="0" applyFont="1" applyBorder="1"/>
    <xf numFmtId="0" fontId="15" fillId="0" borderId="0" xfId="0" applyFont="1" applyAlignment="1"/>
    <xf numFmtId="0" fontId="15" fillId="0" borderId="9" xfId="0" applyFont="1" applyBorder="1" applyAlignment="1">
      <alignment horizontal="center"/>
    </xf>
    <xf numFmtId="0" fontId="22" fillId="4" borderId="0" xfId="2" applyFont="1" applyBorder="1" applyAlignment="1">
      <alignment horizontal="center"/>
    </xf>
    <xf numFmtId="0" fontId="22" fillId="5" borderId="0" xfId="0" applyFont="1" applyFill="1" applyBorder="1" applyAlignment="1">
      <alignment horizontal="center"/>
    </xf>
    <xf numFmtId="2" fontId="15" fillId="0" borderId="0" xfId="0" applyNumberFormat="1" applyFont="1" applyBorder="1" applyAlignment="1">
      <alignment horizontal="center"/>
    </xf>
    <xf numFmtId="164" fontId="15" fillId="0" borderId="0" xfId="0" applyNumberFormat="1" applyFont="1" applyBorder="1" applyAlignment="1">
      <alignment horizontal="center"/>
    </xf>
    <xf numFmtId="164" fontId="15" fillId="0" borderId="9" xfId="0" applyNumberFormat="1" applyFont="1" applyBorder="1" applyAlignment="1">
      <alignment horizontal="center"/>
    </xf>
    <xf numFmtId="0" fontId="15" fillId="0" borderId="0" xfId="0" applyFont="1" applyAlignment="1">
      <alignment horizontal="center"/>
    </xf>
    <xf numFmtId="2" fontId="15" fillId="0" borderId="7" xfId="0" applyNumberFormat="1" applyFont="1" applyBorder="1" applyAlignment="1">
      <alignment horizontal="center"/>
    </xf>
    <xf numFmtId="0" fontId="15" fillId="0" borderId="0" xfId="0" applyFont="1" applyBorder="1" applyAlignment="1">
      <alignment vertical="top" wrapText="1"/>
    </xf>
    <xf numFmtId="0" fontId="15" fillId="0" borderId="2" xfId="0" applyFont="1" applyBorder="1" applyAlignment="1">
      <alignment vertical="top"/>
    </xf>
    <xf numFmtId="0" fontId="15" fillId="0" borderId="0" xfId="0" applyFont="1" applyBorder="1" applyAlignment="1">
      <alignment vertical="top"/>
    </xf>
    <xf numFmtId="0" fontId="23" fillId="0" borderId="0" xfId="0" applyFont="1"/>
    <xf numFmtId="0" fontId="23" fillId="0" borderId="0" xfId="0" applyFont="1" applyAlignment="1"/>
    <xf numFmtId="0" fontId="23" fillId="0" borderId="0" xfId="0" applyFont="1" applyAlignment="1">
      <alignment vertical="center"/>
    </xf>
    <xf numFmtId="164" fontId="23" fillId="0" borderId="0" xfId="0" applyNumberFormat="1" applyFont="1"/>
    <xf numFmtId="165" fontId="23" fillId="0" borderId="0" xfId="0" applyNumberFormat="1" applyFont="1"/>
    <xf numFmtId="0" fontId="24" fillId="0" borderId="0" xfId="0" applyFont="1" applyBorder="1" applyAlignment="1">
      <alignment horizontal="center" vertical="center" wrapText="1"/>
    </xf>
    <xf numFmtId="0" fontId="23" fillId="0" borderId="0" xfId="0" applyFont="1" applyBorder="1" applyAlignment="1"/>
    <xf numFmtId="0" fontId="23" fillId="0" borderId="0" xfId="0" applyFont="1" applyFill="1" applyBorder="1" applyAlignment="1"/>
    <xf numFmtId="0" fontId="23" fillId="0" borderId="0" xfId="0" applyFont="1" applyAlignment="1">
      <alignment horizontal="center" vertical="center"/>
    </xf>
    <xf numFmtId="2" fontId="23" fillId="0" borderId="0" xfId="0" applyNumberFormat="1" applyFont="1"/>
    <xf numFmtId="0" fontId="15" fillId="0" borderId="6" xfId="0" quotePrefix="1" applyFont="1" applyBorder="1" applyAlignment="1">
      <alignment horizontal="left" vertical="top" wrapText="1"/>
    </xf>
    <xf numFmtId="0" fontId="15" fillId="0" borderId="0" xfId="0" quotePrefix="1" applyFont="1" applyBorder="1" applyAlignment="1">
      <alignment horizontal="left" vertical="top" wrapText="1"/>
    </xf>
    <xf numFmtId="0" fontId="15" fillId="0" borderId="7" xfId="0" quotePrefix="1" applyFont="1" applyBorder="1" applyAlignment="1">
      <alignment horizontal="left" vertical="top" wrapText="1"/>
    </xf>
    <xf numFmtId="0" fontId="15" fillId="0" borderId="8" xfId="0" quotePrefix="1" applyFont="1" applyBorder="1" applyAlignment="1">
      <alignment horizontal="left" vertical="top"/>
    </xf>
    <xf numFmtId="0" fontId="15" fillId="0" borderId="9" xfId="0" quotePrefix="1" applyFont="1" applyBorder="1" applyAlignment="1">
      <alignment horizontal="left" vertical="top"/>
    </xf>
    <xf numFmtId="0" fontId="15" fillId="0" borderId="10" xfId="0" quotePrefix="1" applyFont="1" applyBorder="1" applyAlignment="1">
      <alignment horizontal="left" vertical="top"/>
    </xf>
    <xf numFmtId="0" fontId="16" fillId="8" borderId="0" xfId="1" applyFont="1" applyFill="1" applyAlignment="1">
      <alignment horizontal="center"/>
    </xf>
    <xf numFmtId="0" fontId="18" fillId="7" borderId="0" xfId="0" applyFont="1" applyFill="1" applyAlignment="1">
      <alignment horizontal="left" vertical="center"/>
    </xf>
    <xf numFmtId="0" fontId="19" fillId="6" borderId="3" xfId="3" applyFont="1" applyBorder="1" applyAlignment="1">
      <alignment horizontal="left"/>
    </xf>
    <xf numFmtId="0" fontId="19" fillId="6" borderId="4" xfId="3" applyFont="1" applyBorder="1" applyAlignment="1">
      <alignment horizontal="left"/>
    </xf>
    <xf numFmtId="0" fontId="19" fillId="6" borderId="5" xfId="3" applyFont="1" applyBorder="1" applyAlignment="1">
      <alignment horizontal="left"/>
    </xf>
    <xf numFmtId="0" fontId="19" fillId="6" borderId="6" xfId="3" applyFont="1" applyBorder="1" applyAlignment="1">
      <alignment horizontal="left"/>
    </xf>
    <xf numFmtId="0" fontId="19" fillId="6" borderId="0" xfId="3" applyFont="1" applyBorder="1" applyAlignment="1">
      <alignment horizontal="left"/>
    </xf>
    <xf numFmtId="0" fontId="19" fillId="6" borderId="7" xfId="3" applyFont="1" applyBorder="1" applyAlignment="1">
      <alignment horizontal="left"/>
    </xf>
    <xf numFmtId="0" fontId="20" fillId="6" borderId="2" xfId="3" applyFont="1" applyBorder="1" applyAlignment="1">
      <alignment horizontal="center" vertical="center"/>
    </xf>
    <xf numFmtId="0" fontId="21" fillId="3" borderId="2" xfId="1" applyFont="1" applyBorder="1" applyAlignment="1">
      <alignment horizontal="center" vertical="center"/>
    </xf>
    <xf numFmtId="0" fontId="15" fillId="0" borderId="3" xfId="0" quotePrefix="1" applyFont="1" applyBorder="1" applyAlignment="1">
      <alignment horizontal="left" wrapText="1"/>
    </xf>
    <xf numFmtId="0" fontId="15" fillId="0" borderId="4" xfId="0" quotePrefix="1" applyFont="1" applyBorder="1" applyAlignment="1">
      <alignment horizontal="left" wrapText="1"/>
    </xf>
    <xf numFmtId="0" fontId="15" fillId="0" borderId="5" xfId="0" quotePrefix="1" applyFont="1" applyBorder="1" applyAlignment="1">
      <alignment horizontal="left" wrapText="1"/>
    </xf>
    <xf numFmtId="0" fontId="15" fillId="0" borderId="6" xfId="0" quotePrefix="1" applyFont="1" applyBorder="1" applyAlignment="1">
      <alignment horizontal="left" wrapText="1"/>
    </xf>
    <xf numFmtId="0" fontId="15" fillId="0" borderId="0" xfId="0" quotePrefix="1" applyFont="1" applyBorder="1" applyAlignment="1">
      <alignment horizontal="left" wrapText="1"/>
    </xf>
    <xf numFmtId="0" fontId="15" fillId="0" borderId="7" xfId="0" quotePrefix="1" applyFont="1" applyBorder="1" applyAlignment="1">
      <alignment horizontal="left" wrapText="1"/>
    </xf>
    <xf numFmtId="0" fontId="15" fillId="0" borderId="6" xfId="0" quotePrefix="1" applyFont="1" applyBorder="1" applyAlignment="1">
      <alignment horizontal="left"/>
    </xf>
    <xf numFmtId="0" fontId="15" fillId="0" borderId="0" xfId="0" quotePrefix="1" applyFont="1" applyBorder="1" applyAlignment="1">
      <alignment horizontal="left"/>
    </xf>
    <xf numFmtId="0" fontId="15" fillId="0" borderId="7" xfId="0" quotePrefix="1" applyFont="1" applyBorder="1" applyAlignment="1">
      <alignment horizontal="left"/>
    </xf>
    <xf numFmtId="0" fontId="0" fillId="0" borderId="6" xfId="0" quotePrefix="1" applyFont="1" applyBorder="1" applyAlignment="1">
      <alignment horizontal="left" vertical="top" wrapText="1"/>
    </xf>
    <xf numFmtId="0" fontId="22" fillId="4" borderId="0" xfId="2" applyFont="1" applyBorder="1" applyAlignment="1">
      <alignment horizontal="center"/>
    </xf>
    <xf numFmtId="0" fontId="15" fillId="2" borderId="0" xfId="0" applyFont="1" applyFill="1" applyBorder="1" applyAlignment="1" applyProtection="1">
      <alignment horizontal="center"/>
      <protection locked="0"/>
    </xf>
    <xf numFmtId="0" fontId="23" fillId="0" borderId="0" xfId="0" applyFont="1" applyAlignment="1">
      <alignment horizontal="left"/>
    </xf>
  </cellXfs>
  <cellStyles count="4">
    <cellStyle name="Bad" xfId="1" builtinId="27"/>
    <cellStyle name="Check Cell" xfId="2" builtinId="23"/>
    <cellStyle name="Good" xfId="3" builtinId="26"/>
    <cellStyle name="Normal" xfId="0" builtinId="0"/>
  </cellStyles>
  <dxfs count="2">
    <dxf>
      <font>
        <b/>
        <i val="0"/>
        <color theme="1"/>
      </font>
      <fill>
        <patternFill>
          <bgColor rgb="FF92D050"/>
        </patternFill>
      </fill>
    </dxf>
    <dxf>
      <fill>
        <patternFill>
          <bgColor rgb="FFFF6699"/>
        </patternFill>
      </fill>
    </dxf>
  </dxfs>
  <tableStyles count="0" defaultTableStyle="TableStyleMedium2" defaultPivotStyle="PivotStyleLight16"/>
  <colors>
    <mruColors>
      <color rgb="FF996633"/>
      <color rgb="FFFF66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Approximate P-I for Section</c:v>
          </c:tx>
          <c:marker>
            <c:symbol val="none"/>
          </c:marker>
          <c:xVal>
            <c:numRef>
              <c:f>InputSheet!$A$37:$A$54</c:f>
              <c:numCache>
                <c:formatCode>General</c:formatCode>
                <c:ptCount val="18"/>
                <c:pt idx="0">
                  <c:v>201.0505476557251</c:v>
                </c:pt>
                <c:pt idx="1">
                  <c:v>205.91933645925411</c:v>
                </c:pt>
                <c:pt idx="2">
                  <c:v>207.13653366013634</c:v>
                </c:pt>
                <c:pt idx="3">
                  <c:v>208.65803016123914</c:v>
                </c:pt>
                <c:pt idx="4">
                  <c:v>212.61392106410648</c:v>
                </c:pt>
                <c:pt idx="5">
                  <c:v>238.17506228263363</c:v>
                </c:pt>
                <c:pt idx="6">
                  <c:v>267.32693524376344</c:v>
                </c:pt>
                <c:pt idx="7">
                  <c:v>387.58601869092945</c:v>
                </c:pt>
                <c:pt idx="8">
                  <c:v>398.02348468849476</c:v>
                </c:pt>
                <c:pt idx="9">
                  <c:v>592.59245724952189</c:v>
                </c:pt>
                <c:pt idx="10">
                  <c:v>882.25496112947462</c:v>
                </c:pt>
                <c:pt idx="11">
                  <c:v>1313.5687892620988</c:v>
                </c:pt>
                <c:pt idx="12">
                  <c:v>1955.7011725875282</c:v>
                </c:pt>
                <c:pt idx="13">
                  <c:v>2911.718284090467</c:v>
                </c:pt>
                <c:pt idx="14">
                  <c:v>4335.1086908021662</c:v>
                </c:pt>
                <c:pt idx="15">
                  <c:v>6454.3098773982019</c:v>
                </c:pt>
                <c:pt idx="16">
                  <c:v>9609.4676016651192</c:v>
                </c:pt>
                <c:pt idx="17">
                  <c:v>14307.027188959995</c:v>
                </c:pt>
              </c:numCache>
            </c:numRef>
          </c:xVal>
          <c:yVal>
            <c:numRef>
              <c:f>InputSheet!$B$37:$B$54</c:f>
              <c:numCache>
                <c:formatCode>General</c:formatCode>
                <c:ptCount val="18"/>
                <c:pt idx="0">
                  <c:v>1543.3010685787262</c:v>
                </c:pt>
                <c:pt idx="1">
                  <c:v>887.76850668922657</c:v>
                </c:pt>
                <c:pt idx="2">
                  <c:v>293.75192539327475</c:v>
                </c:pt>
                <c:pt idx="3">
                  <c:v>97.197101299088175</c:v>
                </c:pt>
                <c:pt idx="4">
                  <c:v>32.162394269180659</c:v>
                </c:pt>
                <c:pt idx="5">
                  <c:v>18.488746801573143</c:v>
                </c:pt>
                <c:pt idx="6">
                  <c:v>15.463876707158837</c:v>
                </c:pt>
                <c:pt idx="7">
                  <c:v>10.710509415936361</c:v>
                </c:pt>
                <c:pt idx="8">
                  <c:v>10.648777373193212</c:v>
                </c:pt>
                <c:pt idx="9">
                  <c:v>9.198074368729209</c:v>
                </c:pt>
                <c:pt idx="10">
                  <c:v>8.4572898558114211</c:v>
                </c:pt>
                <c:pt idx="11">
                  <c:v>8.0251655566093767</c:v>
                </c:pt>
                <c:pt idx="12">
                  <c:v>7.7165053428936314</c:v>
                </c:pt>
                <c:pt idx="13">
                  <c:v>7.5313092146641845</c:v>
                </c:pt>
                <c:pt idx="14">
                  <c:v>7.4078451291778862</c:v>
                </c:pt>
                <c:pt idx="15">
                  <c:v>7.3461130864347366</c:v>
                </c:pt>
                <c:pt idx="16">
                  <c:v>7.2535150223200135</c:v>
                </c:pt>
                <c:pt idx="17">
                  <c:v>7.2226490009484383</c:v>
                </c:pt>
              </c:numCache>
            </c:numRef>
          </c:yVal>
          <c:smooth val="0"/>
          <c:extLst>
            <c:ext xmlns:c16="http://schemas.microsoft.com/office/drawing/2014/chart" uri="{C3380CC4-5D6E-409C-BE32-E72D297353CC}">
              <c16:uniqueId val="{00000000-A05D-4F94-BC10-3882C4287DCF}"/>
            </c:ext>
          </c:extLst>
        </c:ser>
        <c:ser>
          <c:idx val="1"/>
          <c:order val="1"/>
          <c:tx>
            <c:v>Blast Demand</c:v>
          </c:tx>
          <c:spPr>
            <a:ln w="19050" cap="rnd">
              <a:noFill/>
              <a:round/>
            </a:ln>
            <a:effectLst/>
          </c:spPr>
          <c:marker>
            <c:symbol val="square"/>
            <c:size val="9"/>
            <c:spPr>
              <a:solidFill>
                <a:schemeClr val="accent2"/>
              </a:solidFill>
              <a:ln w="9525">
                <a:solidFill>
                  <a:schemeClr val="tx1"/>
                </a:solidFill>
              </a:ln>
              <a:effectLst/>
            </c:spPr>
          </c:marker>
          <c:xVal>
            <c:numRef>
              <c:f>InputSheet!$E$7</c:f>
              <c:numCache>
                <c:formatCode>General</c:formatCode>
                <c:ptCount val="1"/>
                <c:pt idx="0">
                  <c:v>300</c:v>
                </c:pt>
              </c:numCache>
            </c:numRef>
          </c:xVal>
          <c:yVal>
            <c:numRef>
              <c:f>InputSheet!$E$8</c:f>
              <c:numCache>
                <c:formatCode>General</c:formatCode>
                <c:ptCount val="1"/>
                <c:pt idx="0">
                  <c:v>10</c:v>
                </c:pt>
              </c:numCache>
            </c:numRef>
          </c:yVal>
          <c:smooth val="0"/>
          <c:extLst>
            <c:ext xmlns:c16="http://schemas.microsoft.com/office/drawing/2014/chart" uri="{C3380CC4-5D6E-409C-BE32-E72D297353CC}">
              <c16:uniqueId val="{00000001-A05D-4F94-BC10-3882C4287DCF}"/>
            </c:ext>
          </c:extLst>
        </c:ser>
        <c:dLbls>
          <c:showLegendKey val="0"/>
          <c:showVal val="0"/>
          <c:showCatName val="0"/>
          <c:showSerName val="0"/>
          <c:showPercent val="0"/>
          <c:showBubbleSize val="0"/>
        </c:dLbls>
        <c:axId val="192034168"/>
        <c:axId val="192034560"/>
        <c:extLst>
          <c:ext xmlns:c15="http://schemas.microsoft.com/office/drawing/2012/chart" uri="{02D57815-91ED-43cb-92C2-25804820EDAC}">
            <c15:filteredScatterSeries>
              <c15:ser>
                <c:idx val="2"/>
                <c:order val="2"/>
                <c:spPr>
                  <a:ln w="19050" cap="rnd">
                    <a:solidFill>
                      <a:schemeClr val="accent3"/>
                    </a:solidFill>
                    <a:round/>
                  </a:ln>
                  <a:effectLst/>
                </c:spPr>
                <c:marker>
                  <c:symbol val="none"/>
                </c:marker>
                <c:xVal>
                  <c:numRef>
                    <c:extLst>
                      <c:ext uri="{02D57815-91ED-43cb-92C2-25804820EDAC}">
                        <c15:formulaRef>
                          <c15:sqref>DataBase!$C$260:$C$261</c15:sqref>
                        </c15:formulaRef>
                      </c:ext>
                    </c:extLst>
                    <c:numCache>
                      <c:formatCode>General</c:formatCode>
                      <c:ptCount val="2"/>
                    </c:numCache>
                  </c:numRef>
                </c:xVal>
                <c:yVal>
                  <c:numRef>
                    <c:extLst>
                      <c:ext uri="{02D57815-91ED-43cb-92C2-25804820EDAC}">
                        <c15:formulaRef>
                          <c15:sqref>DataBase!$D$260:$D$261</c15:sqref>
                        </c15:formulaRef>
                      </c:ext>
                    </c:extLst>
                    <c:numCache>
                      <c:formatCode>General</c:formatCode>
                      <c:ptCount val="2"/>
                    </c:numCache>
                  </c:numRef>
                </c:yVal>
                <c:smooth val="0"/>
                <c:extLst>
                  <c:ext xmlns:c16="http://schemas.microsoft.com/office/drawing/2014/chart" uri="{C3380CC4-5D6E-409C-BE32-E72D297353CC}">
                    <c16:uniqueId val="{00000002-A05D-4F94-BC10-3882C4287DCF}"/>
                  </c:ext>
                </c:extLst>
              </c15:ser>
            </c15:filteredScatterSeries>
            <c15:filteredScatterSeries>
              <c15:ser>
                <c:idx val="3"/>
                <c:order val="3"/>
                <c:spPr>
                  <a:ln w="19050" cap="rnd">
                    <a:solidFill>
                      <a:schemeClr val="accent4"/>
                    </a:solidFill>
                    <a:round/>
                  </a:ln>
                  <a:effectLst/>
                </c:spPr>
                <c:marker>
                  <c:symbol val="none"/>
                </c:marker>
                <c:xVal>
                  <c:numRef>
                    <c:extLst xmlns:c15="http://schemas.microsoft.com/office/drawing/2012/chart">
                      <c:ext xmlns:c15="http://schemas.microsoft.com/office/drawing/2012/chart" uri="{02D57815-91ED-43cb-92C2-25804820EDAC}">
                        <c15:formulaRef>
                          <c15:sqref>InputSheet!$G$57:$G$58</c15:sqref>
                        </c15:formulaRef>
                      </c:ext>
                    </c:extLst>
                    <c:numCache>
                      <c:formatCode>General</c:formatCode>
                      <c:ptCount val="2"/>
                    </c:numCache>
                  </c:numRef>
                </c:xVal>
                <c:yVal>
                  <c:numRef>
                    <c:extLst xmlns:c15="http://schemas.microsoft.com/office/drawing/2012/chart">
                      <c:ext xmlns:c15="http://schemas.microsoft.com/office/drawing/2012/chart" uri="{02D57815-91ED-43cb-92C2-25804820EDAC}">
                        <c15:formulaRef>
                          <c15:sqref>InputSheet!$H$57:$H$58</c15:sqref>
                        </c15:formulaRef>
                      </c:ext>
                    </c:extLst>
                    <c:numCache>
                      <c:formatCode>General</c:formatCode>
                      <c:ptCount val="2"/>
                    </c:numCache>
                  </c:numRef>
                </c:yVal>
                <c:smooth val="0"/>
                <c:extLst xmlns:c15="http://schemas.microsoft.com/office/drawing/2012/chart">
                  <c:ext xmlns:c16="http://schemas.microsoft.com/office/drawing/2014/chart" uri="{C3380CC4-5D6E-409C-BE32-E72D297353CC}">
                    <c16:uniqueId val="{00000003-A05D-4F94-BC10-3882C4287DCF}"/>
                  </c:ext>
                </c:extLst>
              </c15:ser>
            </c15:filteredScatterSeries>
            <c15:filteredScatterSeries>
              <c15:ser>
                <c:idx val="4"/>
                <c:order val="4"/>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extLst xmlns:c15="http://schemas.microsoft.com/office/drawing/2012/chart">
                      <c:ext xmlns:c15="http://schemas.microsoft.com/office/drawing/2012/chart" uri="{02D57815-91ED-43cb-92C2-25804820EDAC}">
                        <c15:formulaRef>
                          <c15:sqref>DataBase!$C$263</c15:sqref>
                        </c15:formulaRef>
                      </c:ext>
                    </c:extLst>
                    <c:numCache>
                      <c:formatCode>General</c:formatCode>
                      <c:ptCount val="1"/>
                    </c:numCache>
                  </c:numRef>
                </c:xVal>
                <c:yVal>
                  <c:numRef>
                    <c:extLst xmlns:c15="http://schemas.microsoft.com/office/drawing/2012/chart">
                      <c:ext xmlns:c15="http://schemas.microsoft.com/office/drawing/2012/chart" uri="{02D57815-91ED-43cb-92C2-25804820EDAC}">
                        <c15:formulaRef>
                          <c15:sqref>DataBase!$D$263</c15:sqref>
                        </c15:formulaRef>
                      </c:ext>
                    </c:extLst>
                    <c:numCache>
                      <c:formatCode>General</c:formatCode>
                      <c:ptCount val="1"/>
                    </c:numCache>
                  </c:numRef>
                </c:yVal>
                <c:smooth val="0"/>
                <c:extLst xmlns:c15="http://schemas.microsoft.com/office/drawing/2012/chart">
                  <c:ext xmlns:c16="http://schemas.microsoft.com/office/drawing/2014/chart" uri="{C3380CC4-5D6E-409C-BE32-E72D297353CC}">
                    <c16:uniqueId val="{00000004-A05D-4F94-BC10-3882C4287DCF}"/>
                  </c:ext>
                </c:extLst>
              </c15:ser>
            </c15:filteredScatterSeries>
          </c:ext>
        </c:extLst>
      </c:scatterChart>
      <c:valAx>
        <c:axId val="192034168"/>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0" i="0" baseline="0">
                    <a:solidFill>
                      <a:sysClr val="windowText" lastClr="000000"/>
                    </a:solidFill>
                    <a:effectLst/>
                  </a:rPr>
                  <a:t>Reflected Impulse [psi-ms]</a:t>
                </a:r>
                <a:endParaRPr lang="en-US" sz="800">
                  <a:solidFill>
                    <a:sysClr val="windowText" lastClr="000000"/>
                  </a:solidFill>
                  <a:effectLst/>
                </a:endParaRPr>
              </a:p>
            </c:rich>
          </c:tx>
          <c:overlay val="0"/>
          <c:spPr>
            <a:noFill/>
            <a:ln>
              <a:noFill/>
            </a:ln>
            <a:effectLst/>
          </c:spPr>
        </c:title>
        <c:numFmt formatCode="General"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92034560"/>
        <c:crosses val="autoZero"/>
        <c:crossBetween val="midCat"/>
      </c:valAx>
      <c:valAx>
        <c:axId val="192034560"/>
        <c:scaling>
          <c:logBase val="10"/>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0" i="0" baseline="0">
                    <a:solidFill>
                      <a:sysClr val="windowText" lastClr="000000"/>
                    </a:solidFill>
                    <a:effectLst/>
                  </a:rPr>
                  <a:t>Reflected Pressure [psi]</a:t>
                </a:r>
                <a:endParaRPr lang="en-US" sz="800">
                  <a:solidFill>
                    <a:sysClr val="windowText" lastClr="000000"/>
                  </a:solidFill>
                  <a:effectLst/>
                </a:endParaRPr>
              </a:p>
            </c:rich>
          </c:tx>
          <c:overlay val="0"/>
          <c:spPr>
            <a:noFill/>
            <a:ln>
              <a:noFill/>
            </a:ln>
            <a:effectLst/>
          </c:spPr>
        </c:title>
        <c:numFmt formatCode="General" sourceLinked="1"/>
        <c:majorTickMark val="out"/>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9203416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4218231</xdr:colOff>
      <xdr:row>0</xdr:row>
      <xdr:rowOff>192407</xdr:rowOff>
    </xdr:from>
    <xdr:to>
      <xdr:col>0</xdr:col>
      <xdr:colOff>5997366</xdr:colOff>
      <xdr:row>0</xdr:row>
      <xdr:rowOff>725806</xdr:rowOff>
    </xdr:to>
    <xdr:pic>
      <xdr:nvPicPr>
        <xdr:cNvPr id="2" name="Picture 1" descr="https://www1.lehigh.edu/sites/default/files/LehighUniversityMainLog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8231" y="192407"/>
          <a:ext cx="1779135" cy="533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99060</xdr:colOff>
      <xdr:row>0</xdr:row>
      <xdr:rowOff>106680</xdr:rowOff>
    </xdr:from>
    <xdr:to>
      <xdr:col>0</xdr:col>
      <xdr:colOff>2805152</xdr:colOff>
      <xdr:row>1</xdr:row>
      <xdr:rowOff>71477</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99060" y="106680"/>
          <a:ext cx="2706092" cy="745847"/>
          <a:chOff x="8550958" y="2039044"/>
          <a:chExt cx="2749809" cy="1237041"/>
        </a:xfrm>
      </xdr:grpSpPr>
      <xdr:pic>
        <xdr:nvPicPr>
          <xdr:cNvPr id="4" name="Picture 3" descr="http://ialcce2016.org/wp-content/uploads/2015/06/ATLSS_Logo.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50958" y="2039044"/>
            <a:ext cx="687200" cy="98294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996803" y="2209513"/>
            <a:ext cx="2303964" cy="1066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800" b="1">
                <a:latin typeface="Times New Roman" panose="02020603050405020304" pitchFamily="18" charset="0"/>
                <a:cs typeface="Times New Roman" panose="02020603050405020304" pitchFamily="18" charset="0"/>
              </a:rPr>
              <a:t>Advanced Technology</a:t>
            </a:r>
            <a:r>
              <a:rPr lang="en-US" sz="800" b="1" baseline="0">
                <a:latin typeface="Times New Roman" panose="02020603050405020304" pitchFamily="18" charset="0"/>
                <a:cs typeface="Times New Roman" panose="02020603050405020304" pitchFamily="18" charset="0"/>
              </a:rPr>
              <a:t> for</a:t>
            </a:r>
            <a:br>
              <a:rPr lang="en-US" sz="800" b="1" baseline="0">
                <a:latin typeface="Times New Roman" panose="02020603050405020304" pitchFamily="18" charset="0"/>
                <a:cs typeface="Times New Roman" panose="02020603050405020304" pitchFamily="18" charset="0"/>
              </a:rPr>
            </a:br>
            <a:r>
              <a:rPr lang="en-US" sz="800" b="1" baseline="0">
                <a:latin typeface="Times New Roman" panose="02020603050405020304" pitchFamily="18" charset="0"/>
                <a:cs typeface="Times New Roman" panose="02020603050405020304" pitchFamily="18" charset="0"/>
              </a:rPr>
              <a:t>Large Structural Systems</a:t>
            </a:r>
            <a:br>
              <a:rPr lang="en-US" sz="800" b="1" baseline="0">
                <a:latin typeface="Times New Roman" panose="02020603050405020304" pitchFamily="18" charset="0"/>
                <a:cs typeface="Times New Roman" panose="02020603050405020304" pitchFamily="18" charset="0"/>
              </a:rPr>
            </a:br>
            <a:r>
              <a:rPr lang="en-US" sz="800" b="1" baseline="0">
                <a:latin typeface="Times New Roman" panose="02020603050405020304" pitchFamily="18" charset="0"/>
                <a:cs typeface="Times New Roman" panose="02020603050405020304" pitchFamily="18" charset="0"/>
              </a:rPr>
              <a:t>National Engineering Research Center</a:t>
            </a:r>
            <a:endParaRPr lang="en-US" sz="800" b="1">
              <a:latin typeface="Times New Roman" panose="02020603050405020304" pitchFamily="18"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184151</xdr:colOff>
      <xdr:row>8</xdr:row>
      <xdr:rowOff>2750</xdr:rowOff>
    </xdr:from>
    <xdr:to>
      <xdr:col>12</xdr:col>
      <xdr:colOff>565151</xdr:colOff>
      <xdr:row>25</xdr:row>
      <xdr:rowOff>160867</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715994</xdr:colOff>
      <xdr:row>0</xdr:row>
      <xdr:rowOff>68794</xdr:rowOff>
    </xdr:from>
    <xdr:to>
      <xdr:col>12</xdr:col>
      <xdr:colOff>564306</xdr:colOff>
      <xdr:row>0</xdr:row>
      <xdr:rowOff>736600</xdr:rowOff>
    </xdr:to>
    <xdr:pic>
      <xdr:nvPicPr>
        <xdr:cNvPr id="6" name="Picture 5" descr="https://www1.lehigh.edu/sites/default/files/LehighUniversityMainLogo.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7461" y="68794"/>
          <a:ext cx="2227445" cy="667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169334</xdr:colOff>
      <xdr:row>0</xdr:row>
      <xdr:rowOff>118534</xdr:rowOff>
    </xdr:from>
    <xdr:to>
      <xdr:col>4</xdr:col>
      <xdr:colOff>301559</xdr:colOff>
      <xdr:row>1</xdr:row>
      <xdr:rowOff>63858</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169334" y="118534"/>
          <a:ext cx="2587558" cy="749657"/>
          <a:chOff x="8723027" y="2234642"/>
          <a:chExt cx="2749809" cy="1237041"/>
        </a:xfrm>
      </xdr:grpSpPr>
      <xdr:pic>
        <xdr:nvPicPr>
          <xdr:cNvPr id="8" name="Picture 7" descr="http://ialcce2016.org/wp-content/uploads/2015/06/ATLSS_Logo.png">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3027" y="2234642"/>
            <a:ext cx="687200" cy="98294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9168872" y="2405112"/>
            <a:ext cx="2303964" cy="106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800" b="1">
                <a:latin typeface="Times New Roman" panose="02020603050405020304" pitchFamily="18" charset="0"/>
                <a:cs typeface="Times New Roman" panose="02020603050405020304" pitchFamily="18" charset="0"/>
              </a:rPr>
              <a:t>Advanced Technology</a:t>
            </a:r>
            <a:r>
              <a:rPr lang="en-US" sz="800" b="1" baseline="0">
                <a:latin typeface="Times New Roman" panose="02020603050405020304" pitchFamily="18" charset="0"/>
                <a:cs typeface="Times New Roman" panose="02020603050405020304" pitchFamily="18" charset="0"/>
              </a:rPr>
              <a:t> for</a:t>
            </a:r>
            <a:br>
              <a:rPr lang="en-US" sz="800" b="1" baseline="0">
                <a:latin typeface="Times New Roman" panose="02020603050405020304" pitchFamily="18" charset="0"/>
                <a:cs typeface="Times New Roman" panose="02020603050405020304" pitchFamily="18" charset="0"/>
              </a:rPr>
            </a:br>
            <a:r>
              <a:rPr lang="en-US" sz="800" b="1" baseline="0">
                <a:latin typeface="Times New Roman" panose="02020603050405020304" pitchFamily="18" charset="0"/>
                <a:cs typeface="Times New Roman" panose="02020603050405020304" pitchFamily="18" charset="0"/>
              </a:rPr>
              <a:t>Large Structural Systems</a:t>
            </a:r>
            <a:br>
              <a:rPr lang="en-US" sz="800" b="1" baseline="0">
                <a:latin typeface="Times New Roman" panose="02020603050405020304" pitchFamily="18" charset="0"/>
                <a:cs typeface="Times New Roman" panose="02020603050405020304" pitchFamily="18" charset="0"/>
              </a:rPr>
            </a:br>
            <a:r>
              <a:rPr lang="en-US" sz="800" b="1" baseline="0">
                <a:latin typeface="Times New Roman" panose="02020603050405020304" pitchFamily="18" charset="0"/>
                <a:cs typeface="Times New Roman" panose="02020603050405020304" pitchFamily="18" charset="0"/>
              </a:rPr>
              <a:t>National Engineering Research Center</a:t>
            </a:r>
            <a:endParaRPr lang="en-US" sz="800" b="1">
              <a:latin typeface="Times New Roman" panose="02020603050405020304" pitchFamily="18" charset="0"/>
              <a:cs typeface="Times New Roman" panose="02020603050405020304" pitchFamily="18" charset="0"/>
            </a:endParaRPr>
          </a:p>
        </xdr:txBody>
      </xdr:sp>
    </xdr:grpSp>
    <xdr:clientData/>
  </xdr:twoCellAnchor>
  <xdr:twoCellAnchor editAs="oneCell">
    <xdr:from>
      <xdr:col>6</xdr:col>
      <xdr:colOff>315384</xdr:colOff>
      <xdr:row>30</xdr:row>
      <xdr:rowOff>84667</xdr:rowOff>
    </xdr:from>
    <xdr:to>
      <xdr:col>12</xdr:col>
      <xdr:colOff>35983</xdr:colOff>
      <xdr:row>43</xdr:row>
      <xdr:rowOff>21500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15884" y="6646334"/>
          <a:ext cx="3837516" cy="2497999"/>
        </a:xfrm>
        <a:prstGeom prst="rect">
          <a:avLst/>
        </a:prstGeom>
      </xdr:spPr>
    </xdr:pic>
    <xdr:clientData/>
  </xdr:twoCellAnchor>
  <xdr:twoCellAnchor editAs="oneCell">
    <xdr:from>
      <xdr:col>7</xdr:col>
      <xdr:colOff>503350</xdr:colOff>
      <xdr:row>43</xdr:row>
      <xdr:rowOff>128112</xdr:rowOff>
    </xdr:from>
    <xdr:to>
      <xdr:col>11</xdr:col>
      <xdr:colOff>146049</xdr:colOff>
      <xdr:row>52</xdr:row>
      <xdr:rowOff>153421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17683" y="9250945"/>
          <a:ext cx="2531949" cy="1739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showGridLines="0" tabSelected="1" workbookViewId="0">
      <selection activeCell="A3" sqref="A3"/>
    </sheetView>
  </sheetViews>
  <sheetFormatPr defaultRowHeight="15" x14ac:dyDescent="0.25"/>
  <cols>
    <col min="1" max="1" width="88.7109375" customWidth="1"/>
  </cols>
  <sheetData>
    <row r="1" spans="1:14" ht="61.9" customHeight="1" x14ac:dyDescent="0.25">
      <c r="A1" s="5"/>
    </row>
    <row r="2" spans="1:14" ht="23.25" x14ac:dyDescent="0.35">
      <c r="A2" s="1" t="s">
        <v>48</v>
      </c>
    </row>
    <row r="3" spans="1:14" ht="23.25" x14ac:dyDescent="0.35">
      <c r="A3" s="6" t="s">
        <v>60</v>
      </c>
      <c r="B3" s="2"/>
      <c r="C3" s="2"/>
      <c r="D3" s="2"/>
      <c r="E3" s="2"/>
      <c r="F3" s="2"/>
      <c r="G3" s="2"/>
      <c r="H3" s="2"/>
      <c r="I3" s="2"/>
      <c r="J3" s="2"/>
      <c r="K3" s="2"/>
      <c r="L3" s="2"/>
      <c r="M3" s="2"/>
      <c r="N3" s="3"/>
    </row>
    <row r="4" spans="1:14" ht="21" x14ac:dyDescent="0.35">
      <c r="A4" s="7" t="s">
        <v>50</v>
      </c>
      <c r="B4" s="3"/>
      <c r="C4" s="3"/>
      <c r="D4" s="3"/>
      <c r="E4" s="3"/>
      <c r="F4" s="3"/>
      <c r="G4" s="3"/>
      <c r="H4" s="3"/>
      <c r="I4" s="3"/>
      <c r="J4" s="3"/>
      <c r="K4" s="3"/>
      <c r="L4" s="3"/>
      <c r="M4" s="3"/>
      <c r="N4" s="3"/>
    </row>
    <row r="5" spans="1:14" x14ac:dyDescent="0.25">
      <c r="A5" s="8" t="s">
        <v>51</v>
      </c>
      <c r="B5" s="3"/>
      <c r="C5" s="3"/>
      <c r="D5" s="3"/>
      <c r="E5" s="3"/>
      <c r="F5" s="3"/>
      <c r="G5" s="3"/>
      <c r="H5" s="3"/>
      <c r="I5" s="3"/>
      <c r="J5" s="3"/>
      <c r="K5" s="3"/>
      <c r="L5" s="3"/>
      <c r="M5" s="3"/>
      <c r="N5" s="3"/>
    </row>
    <row r="6" spans="1:14" x14ac:dyDescent="0.25">
      <c r="A6" s="8" t="s">
        <v>54</v>
      </c>
      <c r="B6" s="3"/>
      <c r="C6" s="3"/>
      <c r="D6" s="3"/>
      <c r="E6" s="3"/>
      <c r="F6" s="3"/>
      <c r="G6" s="3"/>
      <c r="H6" s="3"/>
      <c r="I6" s="3"/>
      <c r="J6" s="3"/>
      <c r="K6" s="3"/>
      <c r="L6" s="3"/>
      <c r="M6" s="3"/>
      <c r="N6" s="3"/>
    </row>
    <row r="7" spans="1:14" x14ac:dyDescent="0.25">
      <c r="A7" s="8"/>
      <c r="B7" s="3"/>
      <c r="C7" s="3"/>
      <c r="D7" s="3"/>
      <c r="E7" s="3"/>
      <c r="F7" s="3"/>
      <c r="G7" s="3"/>
      <c r="H7" s="3"/>
      <c r="I7" s="3"/>
      <c r="J7" s="3"/>
      <c r="K7" s="3"/>
      <c r="L7" s="3"/>
      <c r="M7" s="3"/>
      <c r="N7" s="3"/>
    </row>
    <row r="8" spans="1:14" ht="93.75" x14ac:dyDescent="0.25">
      <c r="A8" s="9" t="s">
        <v>52</v>
      </c>
    </row>
    <row r="9" spans="1:14" ht="56.25" x14ac:dyDescent="0.25">
      <c r="A9" s="9" t="s">
        <v>131</v>
      </c>
    </row>
    <row r="10" spans="1:14" ht="150" x14ac:dyDescent="0.25">
      <c r="A10" s="9" t="s">
        <v>53</v>
      </c>
    </row>
    <row r="11" spans="1:14" ht="18.75" x14ac:dyDescent="0.3">
      <c r="A11" s="10" t="s">
        <v>49</v>
      </c>
    </row>
    <row r="12" spans="1:14" ht="112.5" x14ac:dyDescent="0.25">
      <c r="A12" s="9" t="s">
        <v>55</v>
      </c>
    </row>
    <row r="13" spans="1:14" ht="18.75" x14ac:dyDescent="0.25">
      <c r="A13" s="9" t="s">
        <v>132</v>
      </c>
    </row>
    <row r="14" spans="1:14" ht="18.75" x14ac:dyDescent="0.25">
      <c r="A14" s="11" t="s">
        <v>134</v>
      </c>
    </row>
    <row r="15" spans="1:14" ht="18.75" x14ac:dyDescent="0.25">
      <c r="A15" s="11" t="s">
        <v>135</v>
      </c>
    </row>
    <row r="16" spans="1:14" ht="18.75" x14ac:dyDescent="0.25">
      <c r="A16" s="11" t="s">
        <v>56</v>
      </c>
    </row>
    <row r="17" spans="1:1" ht="18.75" x14ac:dyDescent="0.25">
      <c r="A17" s="11" t="s">
        <v>57</v>
      </c>
    </row>
    <row r="18" spans="1:1" ht="18.75" x14ac:dyDescent="0.25">
      <c r="A18" s="11" t="s">
        <v>133</v>
      </c>
    </row>
    <row r="19" spans="1:1" ht="18.75" customHeight="1" x14ac:dyDescent="0.25">
      <c r="A19" s="11" t="s">
        <v>136</v>
      </c>
    </row>
    <row r="20" spans="1:1" ht="18.75" x14ac:dyDescent="0.25">
      <c r="A20" s="11" t="s">
        <v>58</v>
      </c>
    </row>
    <row r="21" spans="1:1" ht="18.75" x14ac:dyDescent="0.25">
      <c r="A21" s="11" t="s">
        <v>59</v>
      </c>
    </row>
    <row r="22" spans="1:1" ht="18.75" x14ac:dyDescent="0.25">
      <c r="A22" s="11" t="s">
        <v>61</v>
      </c>
    </row>
    <row r="42" spans="1:1" x14ac:dyDescent="0.25">
      <c r="A42" s="4"/>
    </row>
  </sheetData>
  <sheetProtection algorithmName="SHA-512" hashValue="Qqi72aRjJt/7c7lXrVqUYmxWEu/VuzjMw7qNMQeIDBXPDxGqwEObAePJ4PyfsJbquRw4XeUyUeXCyWV3cRX4oA==" saltValue="DFzTFOdQ7GdQ+6eDKaypqA=="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4"/>
  <sheetViews>
    <sheetView showGridLines="0" showWhiteSpace="0" zoomScale="90" zoomScaleNormal="90" zoomScalePageLayoutView="70" workbookViewId="0">
      <selection activeCell="E12" sqref="E12"/>
    </sheetView>
  </sheetViews>
  <sheetFormatPr defaultRowHeight="15" x14ac:dyDescent="0.25"/>
  <cols>
    <col min="1" max="4" width="9.140625" style="12"/>
    <col min="5" max="5" width="14" style="12" bestFit="1" customWidth="1"/>
    <col min="6" max="7" width="9.140625" style="12"/>
    <col min="8" max="8" width="10" style="12" bestFit="1" customWidth="1"/>
    <col min="9" max="9" width="9.140625" style="12"/>
    <col min="10" max="10" width="10.85546875" style="12" bestFit="1" customWidth="1"/>
    <col min="11" max="11" width="13.28515625" style="12" customWidth="1"/>
    <col min="12" max="16384" width="9.140625" style="12"/>
  </cols>
  <sheetData>
    <row r="1" spans="1:24" ht="63" customHeight="1" x14ac:dyDescent="0.25"/>
    <row r="2" spans="1:24" ht="23.25" x14ac:dyDescent="0.35">
      <c r="A2" s="49" t="s">
        <v>48</v>
      </c>
      <c r="B2" s="49"/>
      <c r="C2" s="49"/>
      <c r="D2" s="49"/>
      <c r="E2" s="49"/>
      <c r="F2" s="49"/>
      <c r="G2" s="49"/>
      <c r="H2" s="49"/>
      <c r="I2" s="49"/>
      <c r="J2" s="49"/>
      <c r="K2" s="49"/>
      <c r="L2" s="49"/>
      <c r="M2" s="49"/>
      <c r="N2" s="13"/>
      <c r="O2" s="13"/>
      <c r="P2" s="13"/>
      <c r="Q2" s="13"/>
      <c r="R2" s="13"/>
      <c r="S2" s="13"/>
      <c r="T2" s="13"/>
      <c r="U2" s="13"/>
      <c r="V2" s="13"/>
      <c r="W2" s="13"/>
      <c r="X2" s="13"/>
    </row>
    <row r="4" spans="1:24" x14ac:dyDescent="0.25">
      <c r="A4" s="50" t="s">
        <v>34</v>
      </c>
      <c r="B4" s="50"/>
      <c r="C4" s="50"/>
      <c r="D4" s="50"/>
      <c r="E4" s="50"/>
      <c r="F4" s="50"/>
    </row>
    <row r="5" spans="1:24" x14ac:dyDescent="0.25">
      <c r="A5" s="50"/>
      <c r="B5" s="50"/>
      <c r="C5" s="50"/>
      <c r="D5" s="50"/>
      <c r="E5" s="50"/>
      <c r="F5" s="50"/>
    </row>
    <row r="6" spans="1:24" ht="15.75" customHeight="1" x14ac:dyDescent="0.25">
      <c r="A6" s="51" t="s">
        <v>39</v>
      </c>
      <c r="B6" s="52"/>
      <c r="C6" s="52"/>
      <c r="D6" s="52"/>
      <c r="E6" s="52"/>
      <c r="F6" s="53"/>
      <c r="H6" s="57" t="s">
        <v>130</v>
      </c>
      <c r="I6" s="58" t="str">
        <f>IF(OR(AND(DataBase!C223=0,E8&lt;MAX(B37:B54)),E7&lt;MIN(A37:A54)),"MEETS LOP",IF(E7&lt;DataBase!C223,"MEETS LOP","DOES NOT MEET LOP"))</f>
        <v>MEETS LOP</v>
      </c>
      <c r="J6" s="58"/>
      <c r="K6" s="58"/>
    </row>
    <row r="7" spans="1:24" ht="18" x14ac:dyDescent="0.35">
      <c r="A7" s="14" t="s">
        <v>17</v>
      </c>
      <c r="B7" s="15"/>
      <c r="C7" s="15"/>
      <c r="D7" s="15"/>
      <c r="E7" s="16">
        <v>300</v>
      </c>
      <c r="F7" s="17" t="s">
        <v>19</v>
      </c>
      <c r="H7" s="57"/>
      <c r="I7" s="58"/>
      <c r="J7" s="58"/>
      <c r="K7" s="58"/>
    </row>
    <row r="8" spans="1:24" ht="18" x14ac:dyDescent="0.35">
      <c r="A8" s="14" t="s">
        <v>18</v>
      </c>
      <c r="B8" s="15"/>
      <c r="C8" s="15"/>
      <c r="D8" s="15"/>
      <c r="E8" s="16">
        <v>10</v>
      </c>
      <c r="F8" s="17" t="s">
        <v>14</v>
      </c>
    </row>
    <row r="9" spans="1:24" x14ac:dyDescent="0.25">
      <c r="A9" s="14" t="s">
        <v>9</v>
      </c>
      <c r="B9" s="15"/>
      <c r="C9" s="15"/>
      <c r="D9" s="15"/>
      <c r="E9" s="16">
        <v>1</v>
      </c>
      <c r="F9" s="17" t="s">
        <v>11</v>
      </c>
    </row>
    <row r="10" spans="1:24" x14ac:dyDescent="0.25">
      <c r="A10" s="18"/>
      <c r="B10" s="19"/>
      <c r="C10" s="19"/>
      <c r="D10" s="19"/>
      <c r="E10" s="19"/>
      <c r="F10" s="20"/>
      <c r="I10" s="21"/>
      <c r="J10" s="21"/>
      <c r="K10" s="21"/>
      <c r="L10" s="21"/>
    </row>
    <row r="11" spans="1:24" x14ac:dyDescent="0.25">
      <c r="A11" s="54" t="s">
        <v>42</v>
      </c>
      <c r="B11" s="55"/>
      <c r="C11" s="55"/>
      <c r="D11" s="55"/>
      <c r="E11" s="55"/>
      <c r="F11" s="56"/>
      <c r="I11" s="21"/>
      <c r="J11" s="21"/>
      <c r="K11" s="21"/>
      <c r="L11" s="21"/>
    </row>
    <row r="12" spans="1:24" x14ac:dyDescent="0.25">
      <c r="A12" s="14" t="s">
        <v>6</v>
      </c>
      <c r="B12" s="15"/>
      <c r="C12" s="15"/>
      <c r="D12" s="15"/>
      <c r="E12" s="16">
        <v>12</v>
      </c>
      <c r="F12" s="17" t="s">
        <v>10</v>
      </c>
      <c r="I12" s="21"/>
      <c r="J12" s="21"/>
      <c r="K12" s="21"/>
      <c r="L12" s="21"/>
    </row>
    <row r="13" spans="1:24" x14ac:dyDescent="0.25">
      <c r="A13" s="14" t="s">
        <v>4</v>
      </c>
      <c r="B13" s="15"/>
      <c r="C13" s="15"/>
      <c r="D13" s="15"/>
      <c r="E13" s="16" t="s">
        <v>0</v>
      </c>
      <c r="F13" s="17"/>
      <c r="I13" s="21"/>
      <c r="J13" s="21"/>
      <c r="K13" s="21"/>
      <c r="L13" s="21"/>
    </row>
    <row r="14" spans="1:24" x14ac:dyDescent="0.25">
      <c r="A14" s="14" t="s">
        <v>38</v>
      </c>
      <c r="B14" s="15"/>
      <c r="C14" s="15"/>
      <c r="D14" s="15"/>
      <c r="E14" s="15"/>
      <c r="F14" s="17"/>
      <c r="I14" s="21"/>
      <c r="J14" s="21"/>
      <c r="K14" s="21"/>
      <c r="L14" s="21"/>
    </row>
    <row r="15" spans="1:24" x14ac:dyDescent="0.25">
      <c r="A15" s="14" t="s">
        <v>7</v>
      </c>
      <c r="B15" s="15"/>
      <c r="C15" s="15"/>
      <c r="D15" s="15"/>
      <c r="E15" s="16">
        <v>10</v>
      </c>
      <c r="F15" s="17" t="s">
        <v>12</v>
      </c>
      <c r="I15" s="21"/>
      <c r="J15" s="21"/>
      <c r="K15" s="21"/>
      <c r="L15" s="21"/>
    </row>
    <row r="16" spans="1:24" ht="17.25" x14ac:dyDescent="0.25">
      <c r="A16" s="14" t="s">
        <v>5</v>
      </c>
      <c r="B16" s="15"/>
      <c r="C16" s="15"/>
      <c r="D16" s="15"/>
      <c r="E16" s="16">
        <v>0.31</v>
      </c>
      <c r="F16" s="17" t="s">
        <v>13</v>
      </c>
      <c r="I16" s="21"/>
      <c r="J16" s="21"/>
      <c r="K16" s="21"/>
      <c r="L16" s="21"/>
    </row>
    <row r="17" spans="1:12" x14ac:dyDescent="0.25">
      <c r="A17" s="14" t="s">
        <v>8</v>
      </c>
      <c r="B17" s="15"/>
      <c r="C17" s="15"/>
      <c r="D17" s="15"/>
      <c r="E17" s="16">
        <v>4000</v>
      </c>
      <c r="F17" s="17" t="s">
        <v>14</v>
      </c>
      <c r="I17" s="21"/>
      <c r="J17" s="21"/>
      <c r="K17" s="21"/>
      <c r="L17" s="21"/>
    </row>
    <row r="18" spans="1:12" x14ac:dyDescent="0.25">
      <c r="A18" s="18"/>
      <c r="B18" s="19"/>
      <c r="C18" s="19"/>
      <c r="D18" s="19"/>
      <c r="E18" s="22"/>
      <c r="F18" s="20"/>
      <c r="I18" s="21"/>
      <c r="J18" s="21"/>
      <c r="K18" s="21"/>
      <c r="L18" s="21"/>
    </row>
    <row r="19" spans="1:12" x14ac:dyDescent="0.25">
      <c r="A19" s="54" t="s">
        <v>22</v>
      </c>
      <c r="B19" s="55"/>
      <c r="C19" s="55"/>
      <c r="D19" s="55"/>
      <c r="E19" s="55"/>
      <c r="F19" s="56"/>
      <c r="I19" s="21"/>
      <c r="J19" s="21"/>
      <c r="K19" s="21"/>
      <c r="L19" s="21"/>
    </row>
    <row r="20" spans="1:12" x14ac:dyDescent="0.25">
      <c r="A20" s="14" t="s">
        <v>27</v>
      </c>
      <c r="B20" s="15"/>
      <c r="C20" s="15"/>
      <c r="D20" s="15"/>
      <c r="E20" s="23">
        <v>60</v>
      </c>
      <c r="F20" s="17" t="s">
        <v>28</v>
      </c>
      <c r="I20" s="21"/>
      <c r="J20" s="21"/>
      <c r="K20" s="21"/>
      <c r="L20" s="21"/>
    </row>
    <row r="21" spans="1:12" x14ac:dyDescent="0.25">
      <c r="A21" s="14" t="s">
        <v>29</v>
      </c>
      <c r="B21" s="15"/>
      <c r="C21" s="15"/>
      <c r="D21" s="15"/>
      <c r="E21" s="24">
        <v>1.19</v>
      </c>
      <c r="F21" s="17"/>
      <c r="I21" s="21"/>
      <c r="J21" s="21"/>
      <c r="K21" s="21"/>
      <c r="L21" s="21"/>
    </row>
    <row r="22" spans="1:12" x14ac:dyDescent="0.25">
      <c r="A22" s="14" t="s">
        <v>30</v>
      </c>
      <c r="B22" s="15"/>
      <c r="C22" s="15"/>
      <c r="D22" s="15"/>
      <c r="E22" s="24">
        <v>1.17</v>
      </c>
      <c r="F22" s="17"/>
      <c r="I22" s="21"/>
      <c r="J22" s="21"/>
      <c r="K22" s="21"/>
      <c r="L22" s="21"/>
    </row>
    <row r="23" spans="1:12" x14ac:dyDescent="0.25">
      <c r="A23" s="14" t="s">
        <v>40</v>
      </c>
      <c r="B23" s="15"/>
      <c r="C23" s="15"/>
      <c r="D23" s="15"/>
      <c r="E23" s="24">
        <v>1.1000000000000001</v>
      </c>
      <c r="F23" s="17"/>
      <c r="I23" s="21"/>
      <c r="J23" s="21"/>
      <c r="K23" s="21"/>
      <c r="L23" s="21"/>
    </row>
    <row r="24" spans="1:12" x14ac:dyDescent="0.25">
      <c r="A24" s="14" t="s">
        <v>23</v>
      </c>
      <c r="B24" s="15"/>
      <c r="C24" s="15"/>
      <c r="D24" s="15"/>
      <c r="E24" s="25">
        <f>DataBase!C70/1000</f>
        <v>233.48072488012855</v>
      </c>
      <c r="F24" s="17" t="s">
        <v>26</v>
      </c>
      <c r="I24" s="21"/>
      <c r="J24" s="21"/>
      <c r="K24" s="21"/>
      <c r="L24" s="21"/>
    </row>
    <row r="25" spans="1:12" x14ac:dyDescent="0.25">
      <c r="A25" s="14" t="s">
        <v>24</v>
      </c>
      <c r="B25" s="15"/>
      <c r="C25" s="15"/>
      <c r="D25" s="15"/>
      <c r="E25" s="26" t="str">
        <f>IF(E13="F.F.",DataBase!C138,IF(InputSheet!E13="S.F.",DataBase!C140,"N A"))</f>
        <v>N A</v>
      </c>
      <c r="F25" s="17" t="s">
        <v>47</v>
      </c>
      <c r="I25" s="21"/>
      <c r="J25" s="21"/>
      <c r="K25" s="21"/>
      <c r="L25" s="21"/>
    </row>
    <row r="26" spans="1:12" x14ac:dyDescent="0.25">
      <c r="A26" s="18" t="s">
        <v>25</v>
      </c>
      <c r="B26" s="19"/>
      <c r="C26" s="19"/>
      <c r="D26" s="19"/>
      <c r="E26" s="27">
        <f>IF(E13="S.S.",DataBase!C139,IF(InputSheet!E13="S.F.",DataBase!D140,"N A"))</f>
        <v>6.4855756911146809</v>
      </c>
      <c r="F26" s="20" t="s">
        <v>47</v>
      </c>
      <c r="I26" s="21"/>
      <c r="J26" s="21"/>
      <c r="K26" s="21"/>
      <c r="L26" s="21"/>
    </row>
    <row r="27" spans="1:12" x14ac:dyDescent="0.25">
      <c r="E27" s="28"/>
      <c r="I27" s="21"/>
      <c r="J27" s="21"/>
      <c r="K27" s="21"/>
      <c r="L27" s="21"/>
    </row>
    <row r="28" spans="1:12" x14ac:dyDescent="0.25">
      <c r="A28" s="69" t="s">
        <v>43</v>
      </c>
      <c r="B28" s="69"/>
      <c r="C28" s="69"/>
      <c r="D28" s="12" t="s">
        <v>44</v>
      </c>
      <c r="I28" s="21"/>
    </row>
    <row r="29" spans="1:12" x14ac:dyDescent="0.25">
      <c r="A29" s="70" t="s">
        <v>45</v>
      </c>
      <c r="B29" s="70"/>
      <c r="C29" s="70"/>
      <c r="D29" s="12" t="s">
        <v>46</v>
      </c>
      <c r="I29" s="21"/>
    </row>
    <row r="30" spans="1:12" x14ac:dyDescent="0.25">
      <c r="I30" s="21"/>
    </row>
    <row r="31" spans="1:12" x14ac:dyDescent="0.25">
      <c r="A31" s="51" t="s">
        <v>41</v>
      </c>
      <c r="B31" s="52"/>
      <c r="C31" s="52"/>
      <c r="D31" s="52"/>
      <c r="E31" s="53"/>
      <c r="I31" s="21"/>
    </row>
    <row r="32" spans="1:12" ht="18" x14ac:dyDescent="0.35">
      <c r="A32" s="14" t="s">
        <v>15</v>
      </c>
      <c r="B32" s="15"/>
      <c r="C32" s="15"/>
      <c r="D32" s="15"/>
      <c r="E32" s="29">
        <f>DataBase!C103</f>
        <v>3.0866021371574526</v>
      </c>
      <c r="I32" s="21"/>
    </row>
    <row r="33" spans="1:15" ht="18" x14ac:dyDescent="0.35">
      <c r="A33" s="14" t="s">
        <v>16</v>
      </c>
      <c r="B33" s="15"/>
      <c r="C33" s="15"/>
      <c r="D33" s="15"/>
      <c r="E33" s="29">
        <f>DataBase!C104</f>
        <v>3.0429930022056171</v>
      </c>
    </row>
    <row r="34" spans="1:15" x14ac:dyDescent="0.25">
      <c r="A34" s="14"/>
      <c r="B34" s="15"/>
      <c r="C34" s="15"/>
      <c r="D34" s="15"/>
      <c r="E34" s="17"/>
    </row>
    <row r="35" spans="1:15" ht="15" customHeight="1" x14ac:dyDescent="0.25">
      <c r="A35" s="14" t="s">
        <v>20</v>
      </c>
      <c r="B35" s="15" t="s">
        <v>21</v>
      </c>
      <c r="C35" s="15"/>
      <c r="D35" s="15"/>
      <c r="E35" s="17"/>
    </row>
    <row r="36" spans="1:15" x14ac:dyDescent="0.25">
      <c r="A36" s="14" t="s">
        <v>19</v>
      </c>
      <c r="B36" s="15" t="s">
        <v>14</v>
      </c>
      <c r="C36" s="15"/>
      <c r="D36" s="15"/>
      <c r="E36" s="17"/>
    </row>
    <row r="37" spans="1:15" ht="15" customHeight="1" x14ac:dyDescent="0.25">
      <c r="A37" s="14">
        <f>DataBase!D115</f>
        <v>201.0505476557251</v>
      </c>
      <c r="B37" s="15">
        <f>DataBase!E115</f>
        <v>1543.3010685787262</v>
      </c>
      <c r="C37" s="15"/>
      <c r="D37" s="15"/>
      <c r="E37" s="17"/>
    </row>
    <row r="38" spans="1:15" ht="15" customHeight="1" x14ac:dyDescent="0.25">
      <c r="A38" s="14">
        <f>DataBase!D116</f>
        <v>205.91933645925411</v>
      </c>
      <c r="B38" s="15">
        <f>DataBase!E116</f>
        <v>887.76850668922657</v>
      </c>
      <c r="C38" s="15"/>
      <c r="D38" s="15"/>
      <c r="E38" s="17"/>
    </row>
    <row r="39" spans="1:15" x14ac:dyDescent="0.25">
      <c r="A39" s="14">
        <f>DataBase!D117</f>
        <v>207.13653366013634</v>
      </c>
      <c r="B39" s="15">
        <f>DataBase!E117</f>
        <v>293.75192539327475</v>
      </c>
      <c r="C39" s="15"/>
      <c r="D39" s="15"/>
      <c r="E39" s="17"/>
    </row>
    <row r="40" spans="1:15" ht="15" customHeight="1" x14ac:dyDescent="0.25">
      <c r="A40" s="14">
        <f>DataBase!D118</f>
        <v>208.65803016123914</v>
      </c>
      <c r="B40" s="15">
        <f>DataBase!E118</f>
        <v>97.197101299088175</v>
      </c>
      <c r="C40" s="15"/>
      <c r="D40" s="15"/>
      <c r="E40" s="17"/>
    </row>
    <row r="41" spans="1:15" x14ac:dyDescent="0.25">
      <c r="A41" s="14">
        <f>DataBase!D119</f>
        <v>212.61392106410648</v>
      </c>
      <c r="B41" s="15">
        <f>DataBase!E119</f>
        <v>32.162394269180659</v>
      </c>
      <c r="C41" s="15"/>
      <c r="D41" s="15"/>
      <c r="E41" s="17"/>
    </row>
    <row r="42" spans="1:15" x14ac:dyDescent="0.25">
      <c r="A42" s="14">
        <f>DataBase!D120</f>
        <v>238.17506228263363</v>
      </c>
      <c r="B42" s="15">
        <f>DataBase!E120</f>
        <v>18.488746801573143</v>
      </c>
      <c r="C42" s="15"/>
      <c r="D42" s="15"/>
      <c r="E42" s="17"/>
    </row>
    <row r="43" spans="1:15" x14ac:dyDescent="0.25">
      <c r="A43" s="14">
        <f>DataBase!D121</f>
        <v>267.32693524376344</v>
      </c>
      <c r="B43" s="15">
        <f>DataBase!E121</f>
        <v>15.463876707158837</v>
      </c>
      <c r="C43" s="15"/>
      <c r="D43" s="15"/>
      <c r="E43" s="17"/>
      <c r="H43" s="30"/>
      <c r="I43" s="30"/>
      <c r="J43" s="30"/>
      <c r="K43" s="30"/>
      <c r="L43" s="30"/>
      <c r="M43" s="30"/>
      <c r="N43" s="30"/>
      <c r="O43" s="30"/>
    </row>
    <row r="44" spans="1:15" x14ac:dyDescent="0.25">
      <c r="A44" s="14">
        <f>DataBase!D122</f>
        <v>387.58601869092945</v>
      </c>
      <c r="B44" s="15">
        <f>DataBase!E122</f>
        <v>10.710509415936361</v>
      </c>
      <c r="C44" s="15"/>
      <c r="D44" s="15"/>
      <c r="E44" s="17"/>
      <c r="H44" s="30"/>
      <c r="I44" s="30"/>
      <c r="J44" s="30"/>
      <c r="K44" s="30"/>
      <c r="L44" s="30"/>
      <c r="M44" s="30"/>
      <c r="N44" s="30"/>
      <c r="O44" s="30"/>
    </row>
    <row r="45" spans="1:15" x14ac:dyDescent="0.25">
      <c r="A45" s="14">
        <f>DataBase!D123</f>
        <v>398.02348468849476</v>
      </c>
      <c r="B45" s="15">
        <f>DataBase!E123</f>
        <v>10.648777373193212</v>
      </c>
      <c r="C45" s="15"/>
      <c r="D45" s="15"/>
      <c r="E45" s="17"/>
      <c r="L45" s="21"/>
    </row>
    <row r="46" spans="1:15" x14ac:dyDescent="0.25">
      <c r="A46" s="14">
        <f>DataBase!D124</f>
        <v>592.59245724952189</v>
      </c>
      <c r="B46" s="15">
        <f>DataBase!E124</f>
        <v>9.198074368729209</v>
      </c>
      <c r="C46" s="15"/>
      <c r="D46" s="15"/>
      <c r="E46" s="17"/>
    </row>
    <row r="47" spans="1:15" x14ac:dyDescent="0.25">
      <c r="A47" s="14">
        <f>DataBase!D125</f>
        <v>882.25496112947462</v>
      </c>
      <c r="B47" s="15">
        <f>DataBase!E125</f>
        <v>8.4572898558114211</v>
      </c>
      <c r="C47" s="15"/>
      <c r="D47" s="15"/>
      <c r="E47" s="17"/>
      <c r="J47" s="21"/>
      <c r="K47" s="21"/>
    </row>
    <row r="48" spans="1:15" x14ac:dyDescent="0.25">
      <c r="A48" s="14">
        <f>DataBase!D126</f>
        <v>1313.5687892620988</v>
      </c>
      <c r="B48" s="15">
        <f>DataBase!E126</f>
        <v>8.0251655566093767</v>
      </c>
      <c r="C48" s="15"/>
      <c r="D48" s="15"/>
      <c r="E48" s="17"/>
    </row>
    <row r="49" spans="1:9" x14ac:dyDescent="0.25">
      <c r="A49" s="14">
        <f>DataBase!D127</f>
        <v>1955.7011725875282</v>
      </c>
      <c r="B49" s="15">
        <f>DataBase!E127</f>
        <v>7.7165053428936314</v>
      </c>
      <c r="C49" s="15"/>
      <c r="D49" s="15"/>
      <c r="E49" s="17"/>
    </row>
    <row r="50" spans="1:9" x14ac:dyDescent="0.25">
      <c r="A50" s="14">
        <f>DataBase!D128</f>
        <v>2911.718284090467</v>
      </c>
      <c r="B50" s="15">
        <f>DataBase!E128</f>
        <v>7.5313092146641845</v>
      </c>
      <c r="C50" s="15"/>
      <c r="D50" s="15"/>
      <c r="E50" s="17"/>
    </row>
    <row r="51" spans="1:9" x14ac:dyDescent="0.25">
      <c r="A51" s="14">
        <f>DataBase!D129</f>
        <v>4335.1086908021662</v>
      </c>
      <c r="B51" s="15">
        <f>DataBase!E129</f>
        <v>7.4078451291778862</v>
      </c>
      <c r="C51" s="15"/>
      <c r="D51" s="15"/>
      <c r="E51" s="17"/>
    </row>
    <row r="52" spans="1:9" x14ac:dyDescent="0.25">
      <c r="A52" s="14">
        <f>DataBase!D130</f>
        <v>6454.3098773982019</v>
      </c>
      <c r="B52" s="15">
        <f>DataBase!E130</f>
        <v>7.3461130864347366</v>
      </c>
      <c r="C52" s="15"/>
      <c r="D52" s="15"/>
      <c r="E52" s="17"/>
    </row>
    <row r="53" spans="1:9" x14ac:dyDescent="0.25">
      <c r="A53" s="14">
        <f>DataBase!D131</f>
        <v>9609.4676016651192</v>
      </c>
      <c r="B53" s="15">
        <f>DataBase!E131</f>
        <v>7.2535150223200135</v>
      </c>
      <c r="C53" s="15"/>
      <c r="D53" s="15"/>
      <c r="E53" s="17"/>
    </row>
    <row r="54" spans="1:9" x14ac:dyDescent="0.25">
      <c r="A54" s="18">
        <f>DataBase!D132</f>
        <v>14307.027188959995</v>
      </c>
      <c r="B54" s="19">
        <f>DataBase!E132</f>
        <v>7.2226490009484383</v>
      </c>
      <c r="C54" s="19"/>
      <c r="D54" s="19"/>
      <c r="E54" s="20"/>
      <c r="I54" s="21" t="s">
        <v>32</v>
      </c>
    </row>
    <row r="56" spans="1:9" x14ac:dyDescent="0.25">
      <c r="A56" s="31" t="s">
        <v>31</v>
      </c>
      <c r="B56" s="32"/>
      <c r="C56" s="32"/>
      <c r="D56" s="32"/>
      <c r="E56" s="32"/>
      <c r="F56" s="32"/>
      <c r="G56" s="32"/>
      <c r="H56" s="32"/>
      <c r="I56" s="21"/>
    </row>
    <row r="57" spans="1:9" x14ac:dyDescent="0.25">
      <c r="A57" s="59" t="s">
        <v>33</v>
      </c>
      <c r="B57" s="60"/>
      <c r="C57" s="60"/>
      <c r="D57" s="60"/>
      <c r="E57" s="60"/>
      <c r="F57" s="60"/>
      <c r="G57" s="60"/>
      <c r="H57" s="60"/>
      <c r="I57" s="61"/>
    </row>
    <row r="58" spans="1:9" x14ac:dyDescent="0.25">
      <c r="A58" s="62"/>
      <c r="B58" s="63"/>
      <c r="C58" s="63"/>
      <c r="D58" s="63"/>
      <c r="E58" s="63"/>
      <c r="F58" s="63"/>
      <c r="G58" s="63"/>
      <c r="H58" s="63"/>
      <c r="I58" s="64"/>
    </row>
    <row r="59" spans="1:9" x14ac:dyDescent="0.25">
      <c r="A59" s="65" t="s">
        <v>35</v>
      </c>
      <c r="B59" s="66"/>
      <c r="C59" s="66"/>
      <c r="D59" s="66"/>
      <c r="E59" s="66"/>
      <c r="F59" s="66"/>
      <c r="G59" s="66"/>
      <c r="H59" s="66"/>
      <c r="I59" s="67"/>
    </row>
    <row r="60" spans="1:9" x14ac:dyDescent="0.25">
      <c r="A60" s="68" t="s">
        <v>137</v>
      </c>
      <c r="B60" s="44"/>
      <c r="C60" s="44"/>
      <c r="D60" s="44"/>
      <c r="E60" s="44"/>
      <c r="F60" s="44"/>
      <c r="G60" s="44"/>
      <c r="H60" s="44"/>
      <c r="I60" s="45"/>
    </row>
    <row r="61" spans="1:9" x14ac:dyDescent="0.25">
      <c r="A61" s="43"/>
      <c r="B61" s="44"/>
      <c r="C61" s="44"/>
      <c r="D61" s="44"/>
      <c r="E61" s="44"/>
      <c r="F61" s="44"/>
      <c r="G61" s="44"/>
      <c r="H61" s="44"/>
      <c r="I61" s="45"/>
    </row>
    <row r="62" spans="1:9" x14ac:dyDescent="0.25">
      <c r="A62" s="43" t="s">
        <v>36</v>
      </c>
      <c r="B62" s="44"/>
      <c r="C62" s="44"/>
      <c r="D62" s="44"/>
      <c r="E62" s="44"/>
      <c r="F62" s="44"/>
      <c r="G62" s="44"/>
      <c r="H62" s="44"/>
      <c r="I62" s="45"/>
    </row>
    <row r="63" spans="1:9" x14ac:dyDescent="0.25">
      <c r="A63" s="43"/>
      <c r="B63" s="44"/>
      <c r="C63" s="44"/>
      <c r="D63" s="44"/>
      <c r="E63" s="44"/>
      <c r="F63" s="44"/>
      <c r="G63" s="44"/>
      <c r="H63" s="44"/>
      <c r="I63" s="45"/>
    </row>
    <row r="64" spans="1:9" x14ac:dyDescent="0.25">
      <c r="A64" s="46" t="s">
        <v>37</v>
      </c>
      <c r="B64" s="47"/>
      <c r="C64" s="47"/>
      <c r="D64" s="47"/>
      <c r="E64" s="47"/>
      <c r="F64" s="47"/>
      <c r="G64" s="47"/>
      <c r="H64" s="47"/>
      <c r="I64" s="48"/>
    </row>
  </sheetData>
  <sheetProtection algorithmName="SHA-512" hashValue="F51Mh8re31LP+Du3yV7DEuZyrqJnInrVQrQ2reu6CbylXaFFNIwLAuBW9ZxscQqvZPnG1znzhlRC+7pyBKpvYA==" saltValue="uzDgidQBRPTH9u6IdmmsDQ==" spinCount="100000" sheet="1" objects="1" scenarios="1" formatCells="0" formatColumns="0" formatRows="0" insertColumns="0" insertRows="0" insertHyperlinks="0" deleteColumns="0" deleteRows="0" sort="0" autoFilter="0" pivotTables="0"/>
  <mergeCells count="15">
    <mergeCell ref="A62:I63"/>
    <mergeCell ref="A64:I64"/>
    <mergeCell ref="A2:M2"/>
    <mergeCell ref="A4:F5"/>
    <mergeCell ref="A6:F6"/>
    <mergeCell ref="A11:F11"/>
    <mergeCell ref="A19:F19"/>
    <mergeCell ref="A31:E31"/>
    <mergeCell ref="H6:H7"/>
    <mergeCell ref="I6:K7"/>
    <mergeCell ref="A57:I58"/>
    <mergeCell ref="A59:I59"/>
    <mergeCell ref="A60:I61"/>
    <mergeCell ref="A28:C28"/>
    <mergeCell ref="A29:C29"/>
  </mergeCells>
  <conditionalFormatting sqref="I6">
    <cfRule type="containsText" dxfId="1" priority="3" operator="containsText" text="DOES NOT MEET LOP">
      <formula>NOT(ISERROR(SEARCH("DOES NOT MEET LOP",I6)))</formula>
    </cfRule>
  </conditionalFormatting>
  <conditionalFormatting sqref="I6">
    <cfRule type="containsText" dxfId="0" priority="1" operator="containsText" text="MEETS LOP">
      <formula>NOT(ISERROR(SEARCH("MEETS LOP",I6)))</formula>
    </cfRule>
  </conditionalFormatting>
  <pageMargins left="0.25" right="0.25" top="0.75" bottom="0.75" header="0.3" footer="0.3"/>
  <pageSetup orientation="landscape" r:id="rId1"/>
  <headerFooter>
    <oddHeader>&amp;CLehigh University Preliminary Blast Evaluation Tool</oddHeader>
    <oddFooter>&amp;CVersion 02/23/2017</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Warning" error="The inserted value should be selected from the drop down list." xr:uid="{00000000-0002-0000-0100-000000000000}">
          <x14:formula1>
            <xm:f>DataBase!$A$9:$C$9</xm:f>
          </x14:formula1>
          <xm:sqref>E9</xm:sqref>
        </x14:dataValidation>
        <x14:dataValidation type="list" errorStyle="warning" allowBlank="1" showInputMessage="1" showErrorMessage="1" errorTitle="Warning" error="The inserted value should be selected from the drop down list." xr:uid="{00000000-0002-0000-0100-000001000000}">
          <x14:formula1>
            <xm:f>DataBase!$A$15:$F$15</xm:f>
          </x14:formula1>
          <xm:sqref>E16</xm:sqref>
        </x14:dataValidation>
        <x14:dataValidation type="list" allowBlank="1" showInputMessage="1" showErrorMessage="1" errorTitle="Warning" error="The inserted data should be selected from the drop down list." xr:uid="{00000000-0002-0000-0100-000002000000}">
          <x14:formula1>
            <xm:f>DataBase!$C$4:$C$6</xm:f>
          </x14:formula1>
          <xm:sqref>E13</xm:sqref>
        </x14:dataValidation>
        <x14:dataValidation type="decimal" errorStyle="warning" allowBlank="1" showInputMessage="1" showErrorMessage="1" errorTitle="Warning" error="The inserted value should be between 4 and 10 in." xr:uid="{00000000-0002-0000-0100-000003000000}">
          <x14:formula1>
            <xm:f>DataBase!A18</xm:f>
          </x14:formula1>
          <x14:formula2>
            <xm:f>DataBase!G18</xm:f>
          </x14:formula2>
          <xm:sqref>E15</xm:sqref>
        </x14:dataValidation>
        <x14:dataValidation type="decimal" errorStyle="warning" allowBlank="1" showInputMessage="1" showErrorMessage="1" errorTitle="Warning" error="The inserted value should be between 4000 and 8000 psi." xr:uid="{00000000-0002-0000-0100-000004000000}">
          <x14:formula1>
            <xm:f>DataBase!A21</xm:f>
          </x14:formula1>
          <x14:formula2>
            <xm:f>DataBase!E21</xm:f>
          </x14:formula2>
          <xm:sqref>E17</xm:sqref>
        </x14:dataValidation>
        <x14:dataValidation type="decimal" errorStyle="warning" allowBlank="1" showInputMessage="1" showErrorMessage="1" errorTitle="Warning" error="The inserted value should be between 8 and 30 ft." xr:uid="{00000000-0002-0000-0100-000005000000}">
          <x14:formula1>
            <xm:f>DataBase!A12</xm:f>
          </x14:formula1>
          <x14:formula2>
            <xm:f>DataBase!E12</xm:f>
          </x14:formula2>
          <xm:sqref>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34"/>
  <sheetViews>
    <sheetView zoomScale="80" zoomScaleNormal="80" workbookViewId="0">
      <selection activeCell="U116" sqref="U116"/>
    </sheetView>
  </sheetViews>
  <sheetFormatPr defaultRowHeight="15" x14ac:dyDescent="0.25"/>
  <cols>
    <col min="1" max="2" width="9.140625" style="33"/>
    <col min="3" max="3" width="12.42578125" style="33" bestFit="1" customWidth="1"/>
    <col min="4" max="6" width="9.140625" style="33"/>
    <col min="7" max="7" width="12.42578125" style="33" bestFit="1" customWidth="1"/>
    <col min="8" max="16384" width="9.140625" style="33"/>
  </cols>
  <sheetData>
    <row r="1" spans="1:6" x14ac:dyDescent="0.25">
      <c r="A1" s="33" t="s">
        <v>110</v>
      </c>
    </row>
    <row r="3" spans="1:6" x14ac:dyDescent="0.25">
      <c r="A3" s="71" t="s">
        <v>4</v>
      </c>
      <c r="B3" s="71"/>
      <c r="C3" s="71"/>
    </row>
    <row r="4" spans="1:6" x14ac:dyDescent="0.25">
      <c r="A4" s="34" t="s">
        <v>111</v>
      </c>
      <c r="B4" s="34"/>
      <c r="C4" s="33" t="s">
        <v>0</v>
      </c>
    </row>
    <row r="5" spans="1:6" x14ac:dyDescent="0.25">
      <c r="A5" s="35" t="s">
        <v>112</v>
      </c>
      <c r="B5" s="35"/>
      <c r="C5" s="33" t="s">
        <v>108</v>
      </c>
    </row>
    <row r="6" spans="1:6" x14ac:dyDescent="0.25">
      <c r="A6" s="34" t="s">
        <v>113</v>
      </c>
      <c r="B6" s="34"/>
      <c r="C6" s="33" t="s">
        <v>109</v>
      </c>
    </row>
    <row r="8" spans="1:6" x14ac:dyDescent="0.25">
      <c r="A8" s="33" t="s">
        <v>114</v>
      </c>
    </row>
    <row r="9" spans="1:6" x14ac:dyDescent="0.25">
      <c r="A9" s="33">
        <v>1</v>
      </c>
      <c r="B9" s="33">
        <v>2</v>
      </c>
      <c r="C9" s="33">
        <v>5</v>
      </c>
    </row>
    <row r="11" spans="1:6" x14ac:dyDescent="0.25">
      <c r="A11" s="33" t="s">
        <v>115</v>
      </c>
    </row>
    <row r="12" spans="1:6" x14ac:dyDescent="0.25">
      <c r="A12" s="33">
        <v>8</v>
      </c>
      <c r="B12" s="33">
        <v>12</v>
      </c>
      <c r="C12" s="33">
        <v>15</v>
      </c>
      <c r="D12" s="33">
        <v>20</v>
      </c>
      <c r="E12" s="33">
        <v>30</v>
      </c>
    </row>
    <row r="14" spans="1:6" ht="17.25" x14ac:dyDescent="0.25">
      <c r="A14" s="33" t="s">
        <v>116</v>
      </c>
    </row>
    <row r="15" spans="1:6" x14ac:dyDescent="0.25">
      <c r="A15" s="33">
        <v>0.11</v>
      </c>
      <c r="B15" s="33">
        <v>0.2</v>
      </c>
      <c r="C15" s="33">
        <v>0.31</v>
      </c>
      <c r="D15" s="33">
        <v>0.44</v>
      </c>
      <c r="E15" s="33">
        <v>0.6</v>
      </c>
      <c r="F15" s="33">
        <v>0.79</v>
      </c>
    </row>
    <row r="17" spans="1:7" x14ac:dyDescent="0.25">
      <c r="A17" s="33" t="s">
        <v>117</v>
      </c>
    </row>
    <row r="18" spans="1:7" x14ac:dyDescent="0.25">
      <c r="A18" s="33">
        <v>4</v>
      </c>
      <c r="B18" s="33">
        <v>5</v>
      </c>
      <c r="C18" s="33">
        <v>6</v>
      </c>
      <c r="D18" s="33">
        <v>7</v>
      </c>
      <c r="E18" s="33">
        <v>8</v>
      </c>
      <c r="F18" s="33">
        <v>9</v>
      </c>
      <c r="G18" s="33">
        <v>10</v>
      </c>
    </row>
    <row r="20" spans="1:7" x14ac:dyDescent="0.25">
      <c r="A20" s="33" t="s">
        <v>118</v>
      </c>
    </row>
    <row r="21" spans="1:7" x14ac:dyDescent="0.25">
      <c r="A21" s="33">
        <v>4000</v>
      </c>
      <c r="B21" s="33">
        <v>5000</v>
      </c>
      <c r="C21" s="33">
        <v>6000</v>
      </c>
      <c r="D21" s="33">
        <v>7000</v>
      </c>
      <c r="E21" s="33">
        <v>8000</v>
      </c>
    </row>
    <row r="28" spans="1:7" x14ac:dyDescent="0.25">
      <c r="B28" s="33" t="s">
        <v>62</v>
      </c>
      <c r="C28" s="33">
        <f>150/(12^3)</f>
        <v>8.6805555555555552E-2</v>
      </c>
    </row>
    <row r="29" spans="1:7" x14ac:dyDescent="0.25">
      <c r="B29" s="33" t="s">
        <v>98</v>
      </c>
      <c r="C29" s="33">
        <v>29000000</v>
      </c>
    </row>
    <row r="30" spans="1:7" x14ac:dyDescent="0.25">
      <c r="B30" s="33" t="s">
        <v>99</v>
      </c>
      <c r="C30" s="33">
        <f>33*((150^1.5)*SQRT(InputSheet!E17))</f>
        <v>3834253.5127453408</v>
      </c>
    </row>
    <row r="32" spans="1:7" x14ac:dyDescent="0.25">
      <c r="B32" s="33" t="s">
        <v>2</v>
      </c>
      <c r="C32" s="33">
        <v>12</v>
      </c>
    </row>
    <row r="33" spans="2:3" x14ac:dyDescent="0.25">
      <c r="B33" s="33" t="s">
        <v>63</v>
      </c>
      <c r="C33" s="33">
        <v>2</v>
      </c>
    </row>
    <row r="34" spans="2:3" x14ac:dyDescent="0.25">
      <c r="B34" s="33" t="s">
        <v>64</v>
      </c>
      <c r="C34" s="33">
        <f>C29/C30</f>
        <v>7.5634018208764404</v>
      </c>
    </row>
    <row r="36" spans="2:3" x14ac:dyDescent="0.25">
      <c r="B36" s="33" t="s">
        <v>65</v>
      </c>
      <c r="C36" s="33">
        <f>IF(InputSheet!E17&lt;=4000,0.85,IF(InputSheet!E17&gt;8000,0.65,1.05-0.05*InputSheet!E17*1000^-1))</f>
        <v>0.85</v>
      </c>
    </row>
    <row r="38" spans="2:3" x14ac:dyDescent="0.25">
      <c r="B38" s="33" t="s">
        <v>66</v>
      </c>
      <c r="C38" s="33">
        <f>C32*((InputSheet!E15+C33)^3)/12</f>
        <v>1728</v>
      </c>
    </row>
    <row r="40" spans="2:3" x14ac:dyDescent="0.25">
      <c r="B40" s="33" t="s">
        <v>127</v>
      </c>
      <c r="C40" s="33">
        <f>0.5*C32</f>
        <v>6</v>
      </c>
    </row>
    <row r="41" spans="2:3" x14ac:dyDescent="0.25">
      <c r="B41" s="33" t="s">
        <v>128</v>
      </c>
      <c r="C41" s="33">
        <f>C34*InputSheet!E16</f>
        <v>2.3446545644716967</v>
      </c>
    </row>
    <row r="42" spans="2:3" x14ac:dyDescent="0.25">
      <c r="B42" s="33" t="s">
        <v>129</v>
      </c>
      <c r="C42" s="33">
        <f>-C34*InputSheet!E16*InputSheet!E15</f>
        <v>-23.446545644716966</v>
      </c>
    </row>
    <row r="43" spans="2:3" x14ac:dyDescent="0.25">
      <c r="B43" s="33" t="s">
        <v>100</v>
      </c>
      <c r="C43" s="33">
        <f>(C41^2)-4*C40*C42</f>
        <v>568.21450049990517</v>
      </c>
    </row>
    <row r="44" spans="2:3" x14ac:dyDescent="0.25">
      <c r="B44" s="33" t="s">
        <v>101</v>
      </c>
      <c r="C44" s="33">
        <f>IF(AND(((-C41+SQRT(C43))/(2*C40))&gt;0,((-C41+SQRT(C43))/(2*C40))&lt;(C33+InputSheet!E15)),((-C41+SQRT(C43))/(2*C40)),((-C41-SQRT(C43))/(2*C40)))</f>
        <v>1.7910496422414834</v>
      </c>
    </row>
    <row r="46" spans="2:3" x14ac:dyDescent="0.25">
      <c r="B46" s="33" t="s">
        <v>67</v>
      </c>
      <c r="C46" s="33">
        <f>(C32*C44^3)/12+C32*C44*(0.5*C44)^2+C34*InputSheet!E16*(InputSheet!E15-C44)^2</f>
        <v>180.98066047106971</v>
      </c>
    </row>
    <row r="48" spans="2:3" x14ac:dyDescent="0.25">
      <c r="B48" s="33" t="s">
        <v>68</v>
      </c>
      <c r="C48" s="33">
        <f>(C38+C46)*0.5</f>
        <v>954.49033023553488</v>
      </c>
    </row>
    <row r="50" spans="2:3" x14ac:dyDescent="0.25">
      <c r="B50" s="33" t="s">
        <v>69</v>
      </c>
      <c r="C50" s="33">
        <v>1.17</v>
      </c>
    </row>
    <row r="51" spans="2:3" x14ac:dyDescent="0.25">
      <c r="B51" s="33" t="s">
        <v>70</v>
      </c>
      <c r="C51" s="33">
        <v>1.19</v>
      </c>
    </row>
    <row r="52" spans="2:3" x14ac:dyDescent="0.25">
      <c r="B52" s="33" t="s">
        <v>71</v>
      </c>
      <c r="C52" s="33">
        <v>1.1000000000000001</v>
      </c>
    </row>
    <row r="53" spans="2:3" x14ac:dyDescent="0.25">
      <c r="B53" s="33" t="s">
        <v>72</v>
      </c>
      <c r="C53" s="33">
        <v>1</v>
      </c>
    </row>
    <row r="55" spans="2:3" x14ac:dyDescent="0.25">
      <c r="B55" s="33" t="s">
        <v>73</v>
      </c>
      <c r="C55" s="33">
        <f>C50*C52*InputSheet!E20*1000</f>
        <v>77220</v>
      </c>
    </row>
    <row r="56" spans="2:3" x14ac:dyDescent="0.25">
      <c r="B56" s="33" t="s">
        <v>74</v>
      </c>
      <c r="C56" s="33">
        <f>C51*C53*InputSheet!E17</f>
        <v>4760</v>
      </c>
    </row>
    <row r="58" spans="2:3" x14ac:dyDescent="0.25">
      <c r="B58" s="33" t="s">
        <v>1</v>
      </c>
      <c r="C58" s="33">
        <f>(InputSheet!E16*C55)/(0.85*C56*C32)</f>
        <v>0.49304251112209591</v>
      </c>
    </row>
    <row r="59" spans="2:3" x14ac:dyDescent="0.25">
      <c r="B59" s="33" t="s">
        <v>3</v>
      </c>
      <c r="C59" s="33">
        <f>C58/C36</f>
        <v>0.58005001308481874</v>
      </c>
    </row>
    <row r="61" spans="2:3" x14ac:dyDescent="0.25">
      <c r="B61" s="33" t="s">
        <v>75</v>
      </c>
      <c r="C61" s="33">
        <f>0.003*(InputSheet!E15-C59)/C59</f>
        <v>4.8719678171291074E-2</v>
      </c>
    </row>
    <row r="62" spans="2:3" x14ac:dyDescent="0.25">
      <c r="B62" s="33" t="s">
        <v>76</v>
      </c>
      <c r="C62" s="33">
        <f>C55/C29</f>
        <v>2.6627586206896554E-3</v>
      </c>
    </row>
    <row r="64" spans="2:3" x14ac:dyDescent="0.25">
      <c r="B64" s="33" t="s">
        <v>77</v>
      </c>
      <c r="C64" s="33">
        <f>IF(C61&lt;C62,1,0)</f>
        <v>0</v>
      </c>
    </row>
    <row r="66" spans="2:9" x14ac:dyDescent="0.25">
      <c r="B66" s="33" t="s">
        <v>73</v>
      </c>
      <c r="C66" s="33">
        <v>0</v>
      </c>
    </row>
    <row r="67" spans="2:9" x14ac:dyDescent="0.25">
      <c r="B67" s="33" t="s">
        <v>1</v>
      </c>
      <c r="C67" s="33">
        <v>0</v>
      </c>
    </row>
    <row r="68" spans="2:9" x14ac:dyDescent="0.25">
      <c r="B68" s="33" t="s">
        <v>3</v>
      </c>
      <c r="C68" s="33">
        <f>IF(C64=1,C67/C36,0)</f>
        <v>0</v>
      </c>
    </row>
    <row r="70" spans="2:9" x14ac:dyDescent="0.25">
      <c r="B70" s="33" t="s">
        <v>78</v>
      </c>
      <c r="C70" s="33">
        <f>InputSheet!E16*DataBase!C55*(InputSheet!E15-0.5*DataBase!C58)</f>
        <v>233480.72488012855</v>
      </c>
    </row>
    <row r="72" spans="2:9" x14ac:dyDescent="0.25">
      <c r="B72" s="33" t="s">
        <v>79</v>
      </c>
      <c r="C72" s="33">
        <f>8*C70/((InputSheet!E12*12)^2)</f>
        <v>90.077440154370578</v>
      </c>
      <c r="E72" s="33" t="s">
        <v>104</v>
      </c>
      <c r="F72" s="33">
        <f>C72</f>
        <v>90.077440154370578</v>
      </c>
      <c r="H72" s="33" t="s">
        <v>104</v>
      </c>
      <c r="I72" s="33">
        <f>12*C70/((InputSheet!E12*12)^2)</f>
        <v>135.11616023155588</v>
      </c>
    </row>
    <row r="73" spans="2:9" x14ac:dyDescent="0.25">
      <c r="B73" s="33" t="s">
        <v>80</v>
      </c>
      <c r="C73" s="33">
        <f>5*C72*((InputSheet!E12*12)^4)/(384*DataBase!C30*C48)</f>
        <v>0.13780101834669972</v>
      </c>
      <c r="E73" s="33" t="s">
        <v>80</v>
      </c>
      <c r="F73" s="33">
        <f>(F72*(InputSheet!E12*12)^4)/(192*DataBase!C30*DataBase!C48)</f>
        <v>5.5120407338679886E-2</v>
      </c>
      <c r="H73" s="33" t="s">
        <v>80</v>
      </c>
      <c r="I73" s="33">
        <f>(I72*(InputSheet!E12*12)^4)/(384*DataBase!C30*DataBase!C48)</f>
        <v>4.1340305504009918E-2</v>
      </c>
    </row>
    <row r="74" spans="2:9" x14ac:dyDescent="0.25">
      <c r="B74" s="33" t="s">
        <v>81</v>
      </c>
      <c r="C74" s="33">
        <f>C72/C32</f>
        <v>7.5064533461975484</v>
      </c>
      <c r="E74" s="33" t="s">
        <v>105</v>
      </c>
      <c r="F74" s="33">
        <f>(C70-(F72*(InputSheet!E12*12)^2)/16)*8/((InputSheet!E12*12)^2)</f>
        <v>45.038720077185289</v>
      </c>
      <c r="H74" s="33" t="s">
        <v>105</v>
      </c>
      <c r="I74" s="33">
        <f>(C70-(I72*(InputSheet!E12*12)^2)/24)*8/((InputSheet!E12*12)^2)</f>
        <v>45.038720077185289</v>
      </c>
    </row>
    <row r="75" spans="2:9" x14ac:dyDescent="0.25">
      <c r="B75" s="33" t="s">
        <v>82</v>
      </c>
      <c r="C75" s="33">
        <f>C74/C73</f>
        <v>54.473134061402419</v>
      </c>
      <c r="E75" s="33" t="s">
        <v>106</v>
      </c>
      <c r="F75" s="33">
        <f>F73+(5*F74*(InputSheet!E12*12)^4)/(384*DataBase!C30*DataBase!C48)</f>
        <v>0.12402091651202975</v>
      </c>
      <c r="H75" s="33" t="s">
        <v>106</v>
      </c>
      <c r="I75" s="33">
        <f>I73+(5*I74*(InputSheet!E12*12)^4)/(384*DataBase!C30*DataBase!C48)</f>
        <v>0.11024081467735977</v>
      </c>
    </row>
    <row r="76" spans="2:9" x14ac:dyDescent="0.25">
      <c r="E76" s="33" t="s">
        <v>119</v>
      </c>
      <c r="F76" s="33">
        <f>F72/$C$32</f>
        <v>7.5064533461975484</v>
      </c>
      <c r="H76" s="33" t="s">
        <v>119</v>
      </c>
      <c r="I76" s="33">
        <f>I72/$C$32</f>
        <v>11.259680019296324</v>
      </c>
    </row>
    <row r="77" spans="2:9" x14ac:dyDescent="0.25">
      <c r="E77" s="33" t="s">
        <v>81</v>
      </c>
      <c r="F77" s="33">
        <f>(F72+F74)/$C$32</f>
        <v>11.25968001929632</v>
      </c>
      <c r="H77" s="33" t="s">
        <v>81</v>
      </c>
      <c r="I77" s="33">
        <f>(I72+I74)/$C$32</f>
        <v>15.012906692395097</v>
      </c>
    </row>
    <row r="78" spans="2:9" x14ac:dyDescent="0.25">
      <c r="E78" s="33" t="s">
        <v>82</v>
      </c>
      <c r="F78" s="33">
        <f>F76/F73</f>
        <v>136.18283515350606</v>
      </c>
      <c r="H78" s="33" t="s">
        <v>82</v>
      </c>
      <c r="I78" s="33">
        <f>I76/I73</f>
        <v>272.36567030701212</v>
      </c>
    </row>
    <row r="79" spans="2:9" x14ac:dyDescent="0.25">
      <c r="E79" s="33" t="s">
        <v>120</v>
      </c>
      <c r="F79" s="33">
        <f>(F77-F76)/(F75-F73)</f>
        <v>54.473134061402391</v>
      </c>
      <c r="H79" s="33" t="s">
        <v>120</v>
      </c>
      <c r="I79" s="33">
        <f>(I77-I76)/(I75-I73)</f>
        <v>54.473134061402398</v>
      </c>
    </row>
    <row r="81" spans="2:9" x14ac:dyDescent="0.25">
      <c r="B81" s="33" t="s">
        <v>87</v>
      </c>
      <c r="C81" s="33">
        <v>0.78</v>
      </c>
      <c r="E81" s="33" t="s">
        <v>87</v>
      </c>
      <c r="F81" s="33">
        <v>0.78</v>
      </c>
      <c r="H81" s="33" t="s">
        <v>87</v>
      </c>
      <c r="I81" s="33">
        <v>0.77</v>
      </c>
    </row>
    <row r="82" spans="2:9" x14ac:dyDescent="0.25">
      <c r="B82" s="33" t="s">
        <v>88</v>
      </c>
      <c r="C82" s="33">
        <v>0.66</v>
      </c>
      <c r="E82" s="33" t="s">
        <v>121</v>
      </c>
      <c r="F82" s="33">
        <v>0.78</v>
      </c>
      <c r="H82" s="33" t="s">
        <v>121</v>
      </c>
      <c r="I82" s="33">
        <v>0.78</v>
      </c>
    </row>
    <row r="83" spans="2:9" x14ac:dyDescent="0.25">
      <c r="E83" s="33" t="s">
        <v>88</v>
      </c>
      <c r="F83" s="33">
        <v>0.66</v>
      </c>
      <c r="H83" s="33" t="s">
        <v>88</v>
      </c>
      <c r="I83" s="33">
        <v>0.66</v>
      </c>
    </row>
    <row r="85" spans="2:9" x14ac:dyDescent="0.25">
      <c r="B85" s="33" t="s">
        <v>89</v>
      </c>
      <c r="C85" s="33">
        <f>TAN(InputSheet!E9*PI()/180)*InputSheet!E12*12*0.5</f>
        <v>1.2567646748316661</v>
      </c>
    </row>
    <row r="87" spans="2:9" x14ac:dyDescent="0.25">
      <c r="B87" s="33" t="s">
        <v>90</v>
      </c>
      <c r="C87" s="33">
        <f>IF(C85&lt;=C73,0.5*C75*C85*C85,0.5*C75*C73*C73+C75*C73*(C85-C73))</f>
        <v>8.9166469411340259</v>
      </c>
      <c r="E87" s="33" t="s">
        <v>90</v>
      </c>
      <c r="F87" s="36">
        <f>IF(C85&lt;=F73,0.5*F78*C85*C85,IF(AND(C85&gt;F73,C85&lt;=F75),0.5*F76*F73+F76*(C85-F73)+0.5*F79*(C85-F73)*(C85-F73),0.5*F76*F73+0.5*(F76+F77)*(F75-F73)+F77*(C85-F75)))</f>
        <v>13.60770971763859</v>
      </c>
      <c r="H87" s="33" t="s">
        <v>90</v>
      </c>
      <c r="I87" s="33">
        <f>IF(C85&lt;=I73,0.5*I78*C85*C85,IF(AND(C85&gt;I73,C85&lt;=I75),0.5*I76*I73+I76*(C85-I73)+0.5*I79*(C85-I73)*(C85-I73),0.5*I76*I73+0.5*(I76+I77)*(I75-I73)+I77*(C85-I75)))</f>
        <v>18.350492339907063</v>
      </c>
    </row>
    <row r="89" spans="2:9" x14ac:dyDescent="0.25">
      <c r="B89" s="33" t="s">
        <v>83</v>
      </c>
      <c r="C89" s="33">
        <f>InputSheet!E12*12*C32</f>
        <v>1728</v>
      </c>
    </row>
    <row r="90" spans="2:9" x14ac:dyDescent="0.25">
      <c r="B90" s="33" t="s">
        <v>84</v>
      </c>
      <c r="C90" s="37">
        <f>386.4/(1000^2)</f>
        <v>3.8639999999999996E-4</v>
      </c>
    </row>
    <row r="91" spans="2:9" x14ac:dyDescent="0.25">
      <c r="B91" s="33" t="s">
        <v>85</v>
      </c>
      <c r="C91" s="33">
        <f>C28*C89*(InputSheet!E15+C33)</f>
        <v>1800</v>
      </c>
    </row>
    <row r="92" spans="2:9" x14ac:dyDescent="0.25">
      <c r="B92" s="33" t="s">
        <v>86</v>
      </c>
      <c r="C92" s="33">
        <f>C91/(C89*C90)</f>
        <v>2695.8247066942722</v>
      </c>
    </row>
    <row r="94" spans="2:9" x14ac:dyDescent="0.25">
      <c r="B94" s="33" t="s">
        <v>92</v>
      </c>
      <c r="C94" s="33">
        <f>SQRT(2*C87*IF(C85&lt;=C73,C81,C82)*C92)</f>
        <v>178.12856762661147</v>
      </c>
      <c r="E94" s="33" t="s">
        <v>92</v>
      </c>
      <c r="F94" s="33">
        <f>SQRT(2*F87*C92*IF(C85&lt;=F73,F81,IF(C85&gt;F75,F83,F82)))</f>
        <v>220.05199403095779</v>
      </c>
      <c r="H94" s="33" t="s">
        <v>92</v>
      </c>
      <c r="I94" s="33">
        <f>SQRT(2*I87*C92*IF(C85&lt;=I73,I81,IF(C85&gt;I75,I83,I82)))</f>
        <v>255.53868206496955</v>
      </c>
    </row>
    <row r="96" spans="2:9" x14ac:dyDescent="0.25">
      <c r="B96" s="33" t="s">
        <v>91</v>
      </c>
      <c r="C96" s="33">
        <f>IF(InputSheet!E13="S.S.",C87,IF(InputSheet!E13="S.F.",F87,I87))/C85</f>
        <v>7.0949216823971772</v>
      </c>
    </row>
    <row r="97" spans="1:28" x14ac:dyDescent="0.25">
      <c r="B97" s="33" t="s">
        <v>122</v>
      </c>
      <c r="C97" s="33">
        <f>IF(InputSheet!E13="S.S.",DataBase!C94,IF(InputSheet!E13="S.F.",DataBase!F94,DataBase!I94))</f>
        <v>178.12856762661147</v>
      </c>
    </row>
    <row r="99" spans="1:28" x14ac:dyDescent="0.25">
      <c r="A99" s="33" t="s">
        <v>93</v>
      </c>
      <c r="B99" s="33" t="s">
        <v>91</v>
      </c>
      <c r="C99" s="33">
        <v>2.298618794105777</v>
      </c>
    </row>
    <row r="100" spans="1:28" x14ac:dyDescent="0.25">
      <c r="B100" s="33" t="s">
        <v>92</v>
      </c>
      <c r="C100" s="33">
        <v>58.537291245001427</v>
      </c>
    </row>
    <row r="102" spans="1:28" x14ac:dyDescent="0.25">
      <c r="A102" s="33" t="s">
        <v>94</v>
      </c>
    </row>
    <row r="103" spans="1:28" x14ac:dyDescent="0.25">
      <c r="B103" s="33" t="s">
        <v>95</v>
      </c>
      <c r="C103" s="33">
        <f>C96/C99</f>
        <v>3.0866021371574526</v>
      </c>
    </row>
    <row r="104" spans="1:28" x14ac:dyDescent="0.25">
      <c r="B104" s="33" t="s">
        <v>96</v>
      </c>
      <c r="C104" s="33">
        <f>C97/C100</f>
        <v>3.0429930022056171</v>
      </c>
    </row>
    <row r="112" spans="1:28" x14ac:dyDescent="0.25">
      <c r="K112" s="38"/>
      <c r="L112" s="38"/>
      <c r="M112" s="38"/>
      <c r="N112" s="38"/>
      <c r="O112" s="38"/>
      <c r="P112" s="38"/>
      <c r="Q112" s="38"/>
      <c r="R112" s="38"/>
      <c r="S112" s="38"/>
      <c r="T112" s="38"/>
      <c r="U112" s="38"/>
      <c r="V112" s="38"/>
      <c r="W112" s="38"/>
      <c r="X112" s="38"/>
      <c r="Y112" s="38"/>
      <c r="Z112" s="38"/>
      <c r="AA112" s="38"/>
      <c r="AB112" s="38"/>
    </row>
    <row r="113" spans="1:38" x14ac:dyDescent="0.25">
      <c r="A113" s="33" t="s">
        <v>93</v>
      </c>
      <c r="D113" s="33" t="s">
        <v>97</v>
      </c>
      <c r="K113" s="38"/>
      <c r="L113" s="38"/>
      <c r="M113" s="38"/>
      <c r="N113" s="38"/>
      <c r="O113" s="38"/>
      <c r="P113" s="38"/>
      <c r="Q113" s="38"/>
      <c r="R113" s="38"/>
      <c r="S113" s="38"/>
      <c r="T113" s="38"/>
      <c r="U113" s="38"/>
      <c r="V113" s="38"/>
      <c r="W113" s="38"/>
      <c r="X113" s="38"/>
      <c r="Y113" s="38"/>
      <c r="Z113" s="38"/>
      <c r="AA113" s="38"/>
      <c r="AB113" s="38"/>
    </row>
    <row r="114" spans="1:38" x14ac:dyDescent="0.25">
      <c r="A114" s="33" t="s">
        <v>20</v>
      </c>
      <c r="B114" s="33" t="s">
        <v>21</v>
      </c>
      <c r="D114" s="33" t="s">
        <v>20</v>
      </c>
      <c r="E114" s="33" t="s">
        <v>21</v>
      </c>
      <c r="M114" s="39"/>
      <c r="N114" s="39"/>
      <c r="O114" s="39"/>
      <c r="P114" s="39"/>
      <c r="Q114" s="39"/>
      <c r="R114" s="39"/>
    </row>
    <row r="115" spans="1:38" x14ac:dyDescent="0.25">
      <c r="A115" s="38">
        <v>66.069999999999993</v>
      </c>
      <c r="B115" s="38">
        <v>500</v>
      </c>
      <c r="D115" s="33">
        <f>A115*$C$104</f>
        <v>201.0505476557251</v>
      </c>
      <c r="E115" s="33">
        <f>B115*$C$103</f>
        <v>1543.3010685787262</v>
      </c>
      <c r="M115" s="39"/>
      <c r="N115" s="39"/>
      <c r="O115" s="39"/>
      <c r="P115" s="39"/>
      <c r="Q115" s="39"/>
      <c r="R115" s="39"/>
    </row>
    <row r="116" spans="1:38" x14ac:dyDescent="0.25">
      <c r="A116" s="38">
        <v>67.67</v>
      </c>
      <c r="B116" s="38">
        <v>287.62</v>
      </c>
      <c r="D116" s="33">
        <f t="shared" ref="D116:D132" si="0">A116*$C$104</f>
        <v>205.91933645925411</v>
      </c>
      <c r="E116" s="33">
        <f t="shared" ref="E116:E132" si="1">B116*$C$103</f>
        <v>887.76850668922657</v>
      </c>
      <c r="M116" s="39"/>
      <c r="N116" s="40"/>
      <c r="O116" s="40"/>
      <c r="P116" s="40"/>
      <c r="Q116" s="40"/>
      <c r="R116" s="40"/>
      <c r="S116" s="40"/>
    </row>
    <row r="117" spans="1:38" x14ac:dyDescent="0.25">
      <c r="A117" s="38">
        <v>68.069999999999993</v>
      </c>
      <c r="B117" s="38">
        <v>95.17</v>
      </c>
      <c r="C117" s="38"/>
      <c r="D117" s="33">
        <f t="shared" si="0"/>
        <v>207.13653366013634</v>
      </c>
      <c r="E117" s="33">
        <f t="shared" si="1"/>
        <v>293.75192539327475</v>
      </c>
      <c r="F117" s="38"/>
      <c r="G117" s="38"/>
      <c r="H117" s="38"/>
      <c r="I117" s="38"/>
      <c r="J117" s="38"/>
      <c r="M117" s="38"/>
      <c r="N117" s="38"/>
      <c r="O117" s="38"/>
      <c r="P117" s="38"/>
      <c r="Q117" s="38"/>
      <c r="R117" s="38"/>
      <c r="S117" s="38"/>
      <c r="W117" s="38"/>
      <c r="X117" s="38"/>
      <c r="Y117" s="38"/>
      <c r="Z117" s="38"/>
      <c r="AA117" s="38"/>
      <c r="AB117" s="38"/>
      <c r="AC117" s="38"/>
      <c r="AD117" s="38"/>
      <c r="AE117" s="38"/>
      <c r="AF117" s="38"/>
      <c r="AG117" s="38"/>
      <c r="AH117" s="38"/>
      <c r="AI117" s="38"/>
      <c r="AJ117" s="38"/>
      <c r="AK117" s="38"/>
      <c r="AL117" s="38"/>
    </row>
    <row r="118" spans="1:38" x14ac:dyDescent="0.25">
      <c r="A118" s="38">
        <v>68.569999999999993</v>
      </c>
      <c r="B118" s="38">
        <v>31.49</v>
      </c>
      <c r="C118" s="38"/>
      <c r="D118" s="33">
        <f t="shared" si="0"/>
        <v>208.65803016123914</v>
      </c>
      <c r="E118" s="33">
        <f t="shared" si="1"/>
        <v>97.197101299088175</v>
      </c>
      <c r="F118" s="38"/>
      <c r="G118" s="38"/>
      <c r="H118" s="38"/>
      <c r="I118" s="38"/>
      <c r="J118" s="38"/>
      <c r="M118" s="38"/>
      <c r="N118" s="38"/>
      <c r="O118" s="38"/>
      <c r="P118" s="38"/>
      <c r="Q118" s="38"/>
      <c r="R118" s="38"/>
      <c r="S118" s="38"/>
      <c r="W118" s="38"/>
      <c r="X118" s="38"/>
      <c r="Y118" s="38"/>
      <c r="Z118" s="38"/>
      <c r="AA118" s="38"/>
      <c r="AB118" s="38"/>
      <c r="AC118" s="38"/>
      <c r="AD118" s="38"/>
      <c r="AE118" s="38"/>
      <c r="AF118" s="38"/>
      <c r="AG118" s="38"/>
      <c r="AH118" s="38"/>
      <c r="AI118" s="38"/>
      <c r="AJ118" s="38"/>
      <c r="AK118" s="38"/>
      <c r="AL118" s="38"/>
    </row>
    <row r="119" spans="1:38" x14ac:dyDescent="0.25">
      <c r="A119" s="38">
        <v>69.87</v>
      </c>
      <c r="B119" s="38">
        <v>10.42</v>
      </c>
      <c r="C119" s="41"/>
      <c r="D119" s="33">
        <f t="shared" si="0"/>
        <v>212.61392106410648</v>
      </c>
      <c r="E119" s="33">
        <f t="shared" si="1"/>
        <v>32.162394269180659</v>
      </c>
      <c r="F119" s="38"/>
      <c r="G119" s="38"/>
      <c r="H119" s="38"/>
      <c r="I119" s="38"/>
      <c r="J119" s="38"/>
      <c r="M119" s="38"/>
      <c r="N119" s="38"/>
      <c r="O119" s="38"/>
      <c r="P119" s="38"/>
      <c r="Q119" s="38"/>
      <c r="R119" s="38"/>
      <c r="S119" s="38"/>
      <c r="W119" s="38"/>
      <c r="X119" s="38"/>
      <c r="Y119" s="38"/>
      <c r="Z119" s="38"/>
      <c r="AA119" s="38"/>
      <c r="AB119" s="38"/>
      <c r="AC119" s="38"/>
      <c r="AD119" s="38"/>
      <c r="AE119" s="38"/>
      <c r="AF119" s="38"/>
      <c r="AG119" s="38"/>
      <c r="AH119" s="38"/>
      <c r="AI119" s="38"/>
      <c r="AJ119" s="38"/>
      <c r="AK119" s="38"/>
      <c r="AL119" s="38"/>
    </row>
    <row r="120" spans="1:38" x14ac:dyDescent="0.25">
      <c r="A120" s="38">
        <v>78.27</v>
      </c>
      <c r="B120" s="38">
        <v>5.99</v>
      </c>
      <c r="C120" s="38"/>
      <c r="D120" s="33">
        <f t="shared" si="0"/>
        <v>238.17506228263363</v>
      </c>
      <c r="E120" s="33">
        <f t="shared" si="1"/>
        <v>18.488746801573143</v>
      </c>
      <c r="F120" s="38"/>
      <c r="G120" s="38"/>
      <c r="H120" s="38"/>
      <c r="I120" s="38"/>
      <c r="J120" s="38"/>
      <c r="M120" s="38"/>
      <c r="N120" s="38"/>
      <c r="O120" s="38"/>
      <c r="P120" s="38"/>
      <c r="Q120" s="38"/>
      <c r="R120" s="38"/>
      <c r="S120" s="38"/>
      <c r="W120" s="38"/>
      <c r="X120" s="38"/>
      <c r="Y120" s="38"/>
      <c r="Z120" s="38"/>
      <c r="AA120" s="38"/>
      <c r="AB120" s="38"/>
      <c r="AC120" s="38"/>
      <c r="AD120" s="38"/>
      <c r="AE120" s="38"/>
      <c r="AF120" s="38"/>
      <c r="AG120" s="38"/>
      <c r="AH120" s="38"/>
      <c r="AI120" s="38"/>
      <c r="AJ120" s="38"/>
      <c r="AK120" s="38"/>
      <c r="AL120" s="38"/>
    </row>
    <row r="121" spans="1:38" x14ac:dyDescent="0.25">
      <c r="A121" s="38">
        <v>87.85</v>
      </c>
      <c r="B121" s="38">
        <v>5.01</v>
      </c>
      <c r="C121" s="38"/>
      <c r="D121" s="33">
        <f t="shared" si="0"/>
        <v>267.32693524376344</v>
      </c>
      <c r="E121" s="33">
        <f t="shared" si="1"/>
        <v>15.463876707158837</v>
      </c>
      <c r="F121" s="38"/>
      <c r="G121" s="38"/>
      <c r="H121" s="38"/>
      <c r="I121" s="38"/>
      <c r="J121" s="38"/>
      <c r="M121" s="38"/>
      <c r="N121" s="38"/>
      <c r="O121" s="38"/>
      <c r="P121" s="38"/>
      <c r="Q121" s="38"/>
      <c r="R121" s="38"/>
      <c r="S121" s="38"/>
      <c r="W121" s="38"/>
      <c r="X121" s="38"/>
      <c r="Y121" s="38"/>
      <c r="Z121" s="38"/>
      <c r="AA121" s="38"/>
      <c r="AB121" s="38"/>
      <c r="AC121" s="38"/>
      <c r="AD121" s="38"/>
      <c r="AE121" s="38"/>
      <c r="AF121" s="38"/>
      <c r="AG121" s="38"/>
      <c r="AH121" s="38"/>
      <c r="AI121" s="38"/>
      <c r="AJ121" s="38"/>
      <c r="AK121" s="38"/>
      <c r="AL121" s="38"/>
    </row>
    <row r="122" spans="1:38" x14ac:dyDescent="0.25">
      <c r="A122" s="38">
        <v>127.37</v>
      </c>
      <c r="B122" s="38">
        <v>3.47</v>
      </c>
      <c r="C122" s="38"/>
      <c r="D122" s="33">
        <f t="shared" si="0"/>
        <v>387.58601869092945</v>
      </c>
      <c r="E122" s="33">
        <f t="shared" si="1"/>
        <v>10.710509415936361</v>
      </c>
      <c r="F122" s="38"/>
      <c r="G122" s="38"/>
      <c r="H122" s="38"/>
      <c r="I122" s="38"/>
      <c r="J122" s="38"/>
      <c r="M122" s="38"/>
      <c r="N122" s="38"/>
      <c r="O122" s="38"/>
      <c r="P122" s="38"/>
      <c r="Q122" s="38"/>
      <c r="R122" s="38"/>
      <c r="S122" s="38"/>
      <c r="W122" s="38"/>
      <c r="X122" s="38"/>
      <c r="Y122" s="38"/>
      <c r="Z122" s="38"/>
      <c r="AA122" s="38"/>
      <c r="AB122" s="38"/>
      <c r="AC122" s="38"/>
      <c r="AD122" s="38"/>
      <c r="AE122" s="38"/>
      <c r="AF122" s="38"/>
      <c r="AG122" s="38"/>
      <c r="AH122" s="38"/>
      <c r="AI122" s="38"/>
      <c r="AJ122" s="38"/>
      <c r="AK122" s="38"/>
      <c r="AL122" s="38"/>
    </row>
    <row r="123" spans="1:38" x14ac:dyDescent="0.25">
      <c r="A123" s="38">
        <v>130.80000000000001</v>
      </c>
      <c r="B123" s="38">
        <v>3.45</v>
      </c>
      <c r="C123" s="38"/>
      <c r="D123" s="33">
        <f t="shared" si="0"/>
        <v>398.02348468849476</v>
      </c>
      <c r="E123" s="33">
        <f t="shared" si="1"/>
        <v>10.648777373193212</v>
      </c>
      <c r="F123" s="38"/>
      <c r="G123" s="38"/>
      <c r="H123" s="38"/>
      <c r="I123" s="38"/>
      <c r="J123" s="38"/>
      <c r="M123" s="38"/>
      <c r="N123" s="38"/>
      <c r="O123" s="38"/>
      <c r="P123" s="38"/>
      <c r="Q123" s="38"/>
      <c r="R123" s="38"/>
      <c r="S123" s="38"/>
      <c r="W123" s="38"/>
      <c r="X123" s="38"/>
      <c r="Y123" s="38"/>
      <c r="Z123" s="38"/>
      <c r="AA123" s="38"/>
      <c r="AB123" s="38"/>
      <c r="AC123" s="38"/>
      <c r="AD123" s="38"/>
      <c r="AE123" s="38"/>
      <c r="AF123" s="38"/>
      <c r="AG123" s="38"/>
      <c r="AH123" s="38"/>
      <c r="AI123" s="38"/>
      <c r="AJ123" s="38"/>
      <c r="AK123" s="38"/>
      <c r="AL123" s="38"/>
    </row>
    <row r="124" spans="1:38" x14ac:dyDescent="0.25">
      <c r="A124" s="38">
        <v>194.74</v>
      </c>
      <c r="B124" s="38">
        <v>2.98</v>
      </c>
      <c r="C124" s="38"/>
      <c r="D124" s="33">
        <f t="shared" si="0"/>
        <v>592.59245724952189</v>
      </c>
      <c r="E124" s="33">
        <f t="shared" si="1"/>
        <v>9.198074368729209</v>
      </c>
      <c r="F124" s="38"/>
      <c r="G124" s="38"/>
      <c r="H124" s="38"/>
      <c r="I124" s="38"/>
      <c r="J124" s="38"/>
      <c r="M124" s="38"/>
      <c r="N124" s="38"/>
      <c r="O124" s="38"/>
      <c r="P124" s="38"/>
      <c r="Q124" s="38"/>
      <c r="R124" s="38"/>
      <c r="S124" s="38"/>
      <c r="W124" s="38"/>
      <c r="X124" s="38"/>
      <c r="Y124" s="38"/>
      <c r="Z124" s="38"/>
      <c r="AA124" s="38"/>
      <c r="AB124" s="38"/>
      <c r="AC124" s="38"/>
      <c r="AD124" s="38"/>
      <c r="AE124" s="38"/>
      <c r="AF124" s="38"/>
      <c r="AG124" s="38"/>
      <c r="AH124" s="38"/>
      <c r="AI124" s="38"/>
      <c r="AJ124" s="38"/>
      <c r="AK124" s="38"/>
      <c r="AL124" s="38"/>
    </row>
    <row r="125" spans="1:38" x14ac:dyDescent="0.25">
      <c r="A125" s="38">
        <v>289.93</v>
      </c>
      <c r="B125" s="38">
        <v>2.74</v>
      </c>
      <c r="C125" s="38"/>
      <c r="D125" s="33">
        <f t="shared" si="0"/>
        <v>882.25496112947462</v>
      </c>
      <c r="E125" s="33">
        <f t="shared" si="1"/>
        <v>8.4572898558114211</v>
      </c>
      <c r="F125" s="38"/>
      <c r="G125" s="38"/>
      <c r="H125" s="38"/>
      <c r="I125" s="38"/>
      <c r="J125" s="38"/>
      <c r="M125" s="38"/>
      <c r="N125" s="38"/>
      <c r="O125" s="38"/>
      <c r="P125" s="38"/>
      <c r="Q125" s="38"/>
      <c r="R125" s="38"/>
      <c r="S125" s="38"/>
      <c r="W125" s="38"/>
      <c r="X125" s="38"/>
      <c r="Y125" s="38"/>
      <c r="Z125" s="38"/>
      <c r="AA125" s="38"/>
      <c r="AB125" s="38"/>
      <c r="AC125" s="38"/>
      <c r="AD125" s="38"/>
      <c r="AE125" s="38"/>
      <c r="AF125" s="38"/>
      <c r="AG125" s="38"/>
      <c r="AH125" s="38"/>
      <c r="AI125" s="38"/>
      <c r="AJ125" s="38"/>
      <c r="AK125" s="38"/>
      <c r="AL125" s="38"/>
    </row>
    <row r="126" spans="1:38" x14ac:dyDescent="0.25">
      <c r="A126" s="38">
        <v>431.67</v>
      </c>
      <c r="B126" s="38">
        <v>2.6</v>
      </c>
      <c r="C126" s="38"/>
      <c r="D126" s="33">
        <f t="shared" si="0"/>
        <v>1313.5687892620988</v>
      </c>
      <c r="E126" s="33">
        <f t="shared" si="1"/>
        <v>8.0251655566093767</v>
      </c>
      <c r="F126" s="38"/>
      <c r="G126" s="38"/>
      <c r="H126" s="38"/>
      <c r="I126" s="38"/>
      <c r="J126" s="38"/>
      <c r="M126" s="38"/>
      <c r="N126" s="38"/>
      <c r="O126" s="38"/>
      <c r="P126" s="38"/>
      <c r="Q126" s="38"/>
      <c r="R126" s="38"/>
      <c r="S126" s="38"/>
      <c r="W126" s="38"/>
      <c r="X126" s="38"/>
      <c r="Y126" s="38"/>
      <c r="Z126" s="38"/>
      <c r="AA126" s="38"/>
      <c r="AB126" s="38"/>
      <c r="AC126" s="38"/>
      <c r="AD126" s="38"/>
      <c r="AE126" s="38"/>
      <c r="AF126" s="38"/>
      <c r="AG126" s="38"/>
      <c r="AH126" s="38"/>
      <c r="AI126" s="38"/>
      <c r="AJ126" s="38"/>
      <c r="AK126" s="38"/>
      <c r="AL126" s="38"/>
    </row>
    <row r="127" spans="1:38" x14ac:dyDescent="0.25">
      <c r="A127" s="38">
        <v>642.69000000000005</v>
      </c>
      <c r="B127" s="38">
        <v>2.5</v>
      </c>
      <c r="C127" s="38"/>
      <c r="D127" s="33">
        <f t="shared" si="0"/>
        <v>1955.7011725875282</v>
      </c>
      <c r="E127" s="33">
        <f t="shared" si="1"/>
        <v>7.7165053428936314</v>
      </c>
      <c r="F127" s="38"/>
      <c r="G127" s="38"/>
      <c r="H127" s="38"/>
      <c r="I127" s="38"/>
      <c r="J127" s="38"/>
      <c r="M127" s="38"/>
      <c r="N127" s="38"/>
      <c r="O127" s="38"/>
      <c r="P127" s="38"/>
      <c r="Q127" s="38"/>
      <c r="R127" s="38"/>
      <c r="S127" s="38"/>
      <c r="W127" s="38"/>
      <c r="X127" s="38"/>
      <c r="Y127" s="38"/>
      <c r="Z127" s="38"/>
      <c r="AA127" s="38"/>
      <c r="AB127" s="38"/>
      <c r="AC127" s="38"/>
      <c r="AD127" s="38"/>
      <c r="AE127" s="38"/>
      <c r="AF127" s="38"/>
      <c r="AG127" s="38"/>
      <c r="AH127" s="38"/>
      <c r="AI127" s="38"/>
      <c r="AJ127" s="38"/>
      <c r="AK127" s="38"/>
      <c r="AL127" s="38"/>
    </row>
    <row r="128" spans="1:38" x14ac:dyDescent="0.25">
      <c r="A128" s="38">
        <v>956.86</v>
      </c>
      <c r="B128" s="38">
        <v>2.44</v>
      </c>
      <c r="C128" s="38"/>
      <c r="D128" s="33">
        <f t="shared" si="0"/>
        <v>2911.718284090467</v>
      </c>
      <c r="E128" s="33">
        <f t="shared" si="1"/>
        <v>7.5313092146641845</v>
      </c>
      <c r="F128" s="38"/>
      <c r="G128" s="38"/>
      <c r="H128" s="38"/>
      <c r="I128" s="38"/>
      <c r="J128" s="38"/>
      <c r="M128" s="38"/>
      <c r="N128" s="38"/>
      <c r="O128" s="38"/>
      <c r="P128" s="38"/>
      <c r="Q128" s="38"/>
      <c r="R128" s="38"/>
      <c r="S128" s="38"/>
      <c r="W128" s="38"/>
      <c r="X128" s="38"/>
      <c r="Y128" s="38"/>
      <c r="Z128" s="38"/>
      <c r="AA128" s="38"/>
      <c r="AB128" s="38"/>
      <c r="AC128" s="38"/>
      <c r="AD128" s="38"/>
      <c r="AE128" s="38"/>
      <c r="AF128" s="38"/>
      <c r="AG128" s="38"/>
      <c r="AH128" s="38"/>
      <c r="AI128" s="38"/>
      <c r="AJ128" s="38"/>
      <c r="AK128" s="38"/>
      <c r="AL128" s="38"/>
    </row>
    <row r="129" spans="1:38" x14ac:dyDescent="0.25">
      <c r="A129" s="38">
        <v>1424.62</v>
      </c>
      <c r="B129" s="38">
        <v>2.4</v>
      </c>
      <c r="C129" s="38"/>
      <c r="D129" s="33">
        <f t="shared" si="0"/>
        <v>4335.1086908021662</v>
      </c>
      <c r="E129" s="33">
        <f t="shared" si="1"/>
        <v>7.4078451291778862</v>
      </c>
      <c r="F129" s="38"/>
      <c r="G129" s="38"/>
      <c r="H129" s="38"/>
      <c r="I129" s="38"/>
      <c r="J129" s="38"/>
      <c r="M129" s="38"/>
      <c r="N129" s="38"/>
      <c r="O129" s="38"/>
      <c r="P129" s="38"/>
      <c r="Q129" s="38"/>
      <c r="R129" s="38"/>
      <c r="S129" s="38"/>
      <c r="W129" s="38"/>
      <c r="X129" s="38"/>
      <c r="Y129" s="38"/>
      <c r="Z129" s="38"/>
      <c r="AA129" s="38"/>
      <c r="AB129" s="38"/>
      <c r="AC129" s="38"/>
      <c r="AD129" s="38"/>
      <c r="AE129" s="38"/>
      <c r="AF129" s="38"/>
      <c r="AG129" s="38"/>
      <c r="AH129" s="38"/>
      <c r="AI129" s="38"/>
      <c r="AJ129" s="38"/>
      <c r="AK129" s="38"/>
      <c r="AL129" s="38"/>
    </row>
    <row r="130" spans="1:38" x14ac:dyDescent="0.25">
      <c r="A130" s="38">
        <v>2121.04</v>
      </c>
      <c r="B130" s="38">
        <v>2.38</v>
      </c>
      <c r="C130" s="38"/>
      <c r="D130" s="33">
        <f t="shared" si="0"/>
        <v>6454.3098773982019</v>
      </c>
      <c r="E130" s="33">
        <f t="shared" si="1"/>
        <v>7.3461130864347366</v>
      </c>
      <c r="F130" s="38"/>
      <c r="G130" s="38"/>
      <c r="H130" s="38"/>
      <c r="I130" s="38"/>
      <c r="J130" s="38"/>
      <c r="M130" s="38"/>
      <c r="N130" s="38"/>
      <c r="O130" s="38"/>
      <c r="P130" s="38"/>
      <c r="Q130" s="38"/>
      <c r="R130" s="38"/>
      <c r="S130" s="38"/>
      <c r="W130" s="38"/>
      <c r="X130" s="38"/>
      <c r="Y130" s="38"/>
      <c r="Z130" s="38"/>
      <c r="AA130" s="38"/>
      <c r="AB130" s="38"/>
      <c r="AC130" s="38"/>
      <c r="AD130" s="38"/>
      <c r="AE130" s="38"/>
      <c r="AF130" s="38"/>
      <c r="AG130" s="38"/>
      <c r="AH130" s="38"/>
      <c r="AI130" s="38"/>
      <c r="AJ130" s="38"/>
      <c r="AK130" s="38"/>
      <c r="AL130" s="38"/>
    </row>
    <row r="131" spans="1:38" x14ac:dyDescent="0.25">
      <c r="A131" s="38">
        <v>3157.9</v>
      </c>
      <c r="B131" s="38">
        <v>2.35</v>
      </c>
      <c r="C131" s="38"/>
      <c r="D131" s="33">
        <f t="shared" si="0"/>
        <v>9609.4676016651192</v>
      </c>
      <c r="E131" s="33">
        <f t="shared" si="1"/>
        <v>7.2535150223200135</v>
      </c>
      <c r="F131" s="38"/>
      <c r="G131" s="38"/>
      <c r="H131" s="38"/>
      <c r="I131" s="38"/>
      <c r="J131" s="38"/>
      <c r="M131" s="38"/>
      <c r="N131" s="38"/>
      <c r="O131" s="38"/>
      <c r="P131" s="38"/>
      <c r="Q131" s="38"/>
      <c r="R131" s="38"/>
      <c r="S131" s="38"/>
      <c r="W131" s="38"/>
      <c r="X131" s="38"/>
      <c r="Y131" s="38"/>
      <c r="Z131" s="38"/>
      <c r="AA131" s="38"/>
      <c r="AB131" s="38"/>
      <c r="AC131" s="38"/>
      <c r="AD131" s="38"/>
      <c r="AE131" s="38"/>
      <c r="AF131" s="38"/>
      <c r="AG131" s="38"/>
      <c r="AH131" s="38"/>
      <c r="AI131" s="38"/>
      <c r="AJ131" s="38"/>
      <c r="AK131" s="38"/>
      <c r="AL131" s="38"/>
    </row>
    <row r="132" spans="1:38" x14ac:dyDescent="0.25">
      <c r="A132" s="38">
        <v>4701.63</v>
      </c>
      <c r="B132" s="38">
        <v>2.34</v>
      </c>
      <c r="C132" s="38"/>
      <c r="D132" s="33">
        <f t="shared" si="0"/>
        <v>14307.027188959995</v>
      </c>
      <c r="E132" s="33">
        <f t="shared" si="1"/>
        <v>7.2226490009484383</v>
      </c>
      <c r="F132" s="38"/>
      <c r="G132" s="38"/>
      <c r="H132" s="38"/>
      <c r="I132" s="38"/>
      <c r="J132" s="38"/>
      <c r="M132" s="38"/>
      <c r="N132" s="38"/>
      <c r="O132" s="38"/>
      <c r="P132" s="38"/>
      <c r="Q132" s="38"/>
      <c r="R132" s="38"/>
      <c r="S132" s="38"/>
      <c r="W132" s="38"/>
      <c r="X132" s="38"/>
      <c r="Y132" s="38"/>
      <c r="Z132" s="38"/>
      <c r="AA132" s="38"/>
      <c r="AB132" s="38"/>
      <c r="AC132" s="38"/>
      <c r="AD132" s="38"/>
      <c r="AE132" s="38"/>
      <c r="AF132" s="38"/>
      <c r="AG132" s="38"/>
      <c r="AH132" s="38"/>
      <c r="AI132" s="38"/>
      <c r="AJ132" s="38"/>
      <c r="AK132" s="38"/>
      <c r="AL132" s="38"/>
    </row>
    <row r="133" spans="1:38" x14ac:dyDescent="0.25">
      <c r="B133" s="38"/>
      <c r="C133" s="38"/>
      <c r="D133" s="38"/>
      <c r="E133" s="38"/>
      <c r="F133" s="38"/>
      <c r="G133" s="38"/>
      <c r="H133" s="38"/>
      <c r="I133" s="38"/>
      <c r="J133" s="38"/>
      <c r="M133" s="38"/>
      <c r="N133" s="38"/>
      <c r="O133" s="38"/>
      <c r="P133" s="38"/>
      <c r="Q133" s="38"/>
      <c r="R133" s="38"/>
      <c r="S133" s="38"/>
      <c r="W133" s="38"/>
      <c r="X133" s="38"/>
      <c r="Y133" s="38"/>
      <c r="Z133" s="38"/>
      <c r="AA133" s="38"/>
      <c r="AB133" s="38"/>
      <c r="AC133" s="38"/>
      <c r="AD133" s="38"/>
      <c r="AE133" s="38"/>
      <c r="AF133" s="38"/>
      <c r="AG133" s="38"/>
      <c r="AH133" s="38"/>
      <c r="AI133" s="38"/>
      <c r="AJ133" s="38"/>
      <c r="AK133" s="38"/>
      <c r="AL133" s="38"/>
    </row>
    <row r="134" spans="1:38" x14ac:dyDescent="0.25">
      <c r="B134" s="38"/>
      <c r="C134" s="38"/>
      <c r="D134" s="38"/>
      <c r="E134" s="38"/>
      <c r="F134" s="38"/>
      <c r="G134" s="38"/>
      <c r="H134" s="38"/>
      <c r="I134" s="38"/>
      <c r="J134" s="38"/>
      <c r="M134" s="38"/>
      <c r="N134" s="38"/>
      <c r="O134" s="38"/>
      <c r="P134" s="38"/>
      <c r="Q134" s="38"/>
      <c r="R134" s="38"/>
      <c r="S134" s="38"/>
      <c r="W134" s="38"/>
      <c r="X134" s="38"/>
      <c r="Y134" s="38"/>
      <c r="Z134" s="38"/>
      <c r="AA134" s="38"/>
      <c r="AB134" s="38"/>
      <c r="AC134" s="38"/>
      <c r="AD134" s="38"/>
      <c r="AE134" s="38"/>
      <c r="AF134" s="38"/>
      <c r="AG134" s="38"/>
      <c r="AH134" s="38"/>
      <c r="AI134" s="38"/>
      <c r="AJ134" s="38"/>
      <c r="AK134" s="38"/>
      <c r="AL134" s="38"/>
    </row>
    <row r="135" spans="1:38" x14ac:dyDescent="0.25">
      <c r="M135" s="39"/>
      <c r="N135" s="39"/>
      <c r="O135" s="39"/>
      <c r="P135" s="39"/>
      <c r="Q135" s="39"/>
      <c r="R135" s="39"/>
    </row>
    <row r="136" spans="1:38" x14ac:dyDescent="0.25">
      <c r="A136" s="33" t="s">
        <v>123</v>
      </c>
      <c r="M136" s="39"/>
      <c r="N136" s="40"/>
      <c r="O136" s="40"/>
      <c r="P136" s="40"/>
      <c r="Q136" s="40"/>
      <c r="R136" s="40"/>
      <c r="S136" s="40"/>
    </row>
    <row r="137" spans="1:38" x14ac:dyDescent="0.25">
      <c r="E137" s="38"/>
      <c r="F137" s="38"/>
      <c r="G137" s="38"/>
      <c r="H137" s="38"/>
      <c r="I137" s="38"/>
      <c r="J137" s="38"/>
      <c r="M137" s="38"/>
      <c r="N137" s="38"/>
      <c r="O137" s="38"/>
      <c r="P137" s="38"/>
      <c r="Q137" s="38"/>
      <c r="R137" s="38"/>
      <c r="S137" s="38"/>
    </row>
    <row r="138" spans="1:38" x14ac:dyDescent="0.25">
      <c r="B138" s="33" t="s">
        <v>103</v>
      </c>
      <c r="C138" s="33">
        <f>(I77*InputSheet!$E$12*12/2)*12/1000</f>
        <v>12.971151382229362</v>
      </c>
      <c r="E138" s="38"/>
      <c r="F138" s="38"/>
      <c r="G138" s="38"/>
      <c r="H138" s="38"/>
      <c r="I138" s="38"/>
      <c r="J138" s="38"/>
      <c r="M138" s="38"/>
      <c r="N138" s="38"/>
      <c r="O138" s="38"/>
      <c r="P138" s="38"/>
      <c r="Q138" s="38"/>
      <c r="R138" s="38"/>
      <c r="S138" s="38"/>
    </row>
    <row r="139" spans="1:38" x14ac:dyDescent="0.25">
      <c r="B139" s="33" t="s">
        <v>102</v>
      </c>
      <c r="C139" s="33">
        <f>(C74*InputSheet!$E$12*12/2)*12/1000</f>
        <v>6.4855756911146809</v>
      </c>
      <c r="E139" s="38"/>
      <c r="F139" s="38"/>
      <c r="G139" s="38"/>
      <c r="H139" s="38"/>
      <c r="I139" s="38"/>
      <c r="J139" s="38"/>
      <c r="M139" s="38"/>
      <c r="N139" s="38"/>
      <c r="O139" s="38"/>
      <c r="P139" s="38"/>
      <c r="Q139" s="38"/>
      <c r="R139" s="38"/>
      <c r="S139" s="38"/>
    </row>
    <row r="140" spans="1:38" x14ac:dyDescent="0.25">
      <c r="B140" s="33" t="s">
        <v>124</v>
      </c>
      <c r="C140" s="33">
        <f>(5*F77*InputSheet!$E$12*12/8)*12/1000</f>
        <v>12.160454420840026</v>
      </c>
      <c r="D140" s="33">
        <f>(3*F77*InputSheet!$E$12*12/8)*12/1000</f>
        <v>7.2962726525040162</v>
      </c>
      <c r="E140" s="38"/>
      <c r="F140" s="38"/>
      <c r="G140" s="38"/>
      <c r="H140" s="38"/>
      <c r="I140" s="38"/>
      <c r="J140" s="38"/>
      <c r="K140" s="38"/>
      <c r="L140" s="38"/>
      <c r="M140" s="38"/>
      <c r="N140" s="38"/>
      <c r="O140" s="38"/>
      <c r="P140" s="38"/>
      <c r="Q140" s="38"/>
      <c r="R140" s="38"/>
      <c r="S140" s="38"/>
    </row>
    <row r="141" spans="1:38" x14ac:dyDescent="0.25">
      <c r="C141" s="33" t="s">
        <v>125</v>
      </c>
      <c r="D141" s="33" t="s">
        <v>107</v>
      </c>
      <c r="E141" s="38"/>
      <c r="F141" s="38"/>
      <c r="G141" s="38"/>
      <c r="H141" s="38"/>
      <c r="I141" s="38"/>
      <c r="J141" s="38"/>
      <c r="K141" s="38"/>
      <c r="L141" s="38"/>
      <c r="M141" s="38"/>
      <c r="N141" s="38"/>
      <c r="O141" s="38"/>
      <c r="P141" s="38"/>
      <c r="Q141" s="38"/>
      <c r="R141" s="38"/>
      <c r="S141" s="38"/>
    </row>
    <row r="142" spans="1:38" x14ac:dyDescent="0.25">
      <c r="B142" s="38"/>
      <c r="C142" s="38"/>
      <c r="D142" s="38"/>
      <c r="E142" s="38"/>
      <c r="F142" s="38"/>
      <c r="G142" s="38"/>
      <c r="H142" s="38"/>
      <c r="I142" s="38"/>
      <c r="J142" s="38"/>
      <c r="K142" s="38"/>
      <c r="L142" s="38"/>
      <c r="M142" s="38"/>
      <c r="N142" s="38"/>
      <c r="O142" s="38"/>
      <c r="P142" s="38"/>
      <c r="Q142" s="38"/>
      <c r="R142" s="38"/>
      <c r="S142" s="38"/>
    </row>
    <row r="143" spans="1:38" x14ac:dyDescent="0.25">
      <c r="B143" s="38"/>
      <c r="C143" s="38"/>
      <c r="D143" s="38"/>
      <c r="E143" s="38"/>
      <c r="F143" s="38"/>
      <c r="G143" s="38"/>
      <c r="H143" s="38"/>
      <c r="I143" s="38"/>
      <c r="J143" s="38"/>
      <c r="K143" s="38"/>
      <c r="L143" s="38"/>
      <c r="M143" s="38"/>
      <c r="N143" s="38"/>
      <c r="O143" s="38"/>
      <c r="P143" s="38"/>
      <c r="Q143" s="38"/>
      <c r="R143" s="38"/>
      <c r="S143" s="38"/>
    </row>
    <row r="144" spans="1:38" x14ac:dyDescent="0.25">
      <c r="B144" s="38"/>
      <c r="C144" s="38"/>
      <c r="D144" s="38"/>
      <c r="E144" s="38"/>
      <c r="F144" s="38"/>
      <c r="G144" s="38"/>
      <c r="H144" s="38"/>
      <c r="I144" s="38"/>
      <c r="J144" s="38"/>
      <c r="K144" s="38"/>
      <c r="L144" s="38"/>
      <c r="M144" s="38"/>
      <c r="N144" s="38"/>
      <c r="O144" s="38"/>
      <c r="P144" s="38"/>
      <c r="Q144" s="38"/>
      <c r="R144" s="38"/>
      <c r="S144" s="38"/>
    </row>
    <row r="145" spans="2:19" x14ac:dyDescent="0.25">
      <c r="B145" s="38"/>
      <c r="C145" s="38"/>
      <c r="D145" s="38"/>
      <c r="E145" s="38"/>
      <c r="F145" s="38"/>
      <c r="G145" s="38"/>
      <c r="H145" s="38"/>
      <c r="I145" s="38"/>
      <c r="J145" s="38"/>
      <c r="K145" s="38"/>
      <c r="L145" s="38"/>
      <c r="M145" s="38"/>
      <c r="N145" s="38"/>
      <c r="O145" s="38"/>
      <c r="P145" s="38"/>
      <c r="Q145" s="38"/>
      <c r="R145" s="38"/>
      <c r="S145" s="38"/>
    </row>
    <row r="146" spans="2:19" x14ac:dyDescent="0.25">
      <c r="B146" s="38"/>
      <c r="C146" s="38"/>
      <c r="D146" s="38"/>
      <c r="E146" s="38"/>
      <c r="F146" s="38"/>
      <c r="G146" s="38"/>
      <c r="H146" s="38"/>
      <c r="I146" s="38"/>
      <c r="J146" s="38"/>
      <c r="K146" s="38"/>
      <c r="L146" s="38"/>
      <c r="M146" s="38"/>
      <c r="N146" s="38"/>
      <c r="O146" s="38"/>
      <c r="P146" s="38"/>
      <c r="Q146" s="38"/>
      <c r="R146" s="38"/>
      <c r="S146" s="38"/>
    </row>
    <row r="147" spans="2:19" x14ac:dyDescent="0.25">
      <c r="B147" s="38"/>
      <c r="C147" s="38"/>
      <c r="D147" s="38"/>
      <c r="E147" s="38"/>
      <c r="F147" s="38"/>
      <c r="G147" s="38"/>
      <c r="H147" s="38"/>
      <c r="I147" s="38"/>
      <c r="J147" s="38"/>
      <c r="K147" s="38"/>
      <c r="L147" s="38"/>
      <c r="M147" s="38"/>
      <c r="N147" s="38"/>
      <c r="O147" s="38"/>
      <c r="P147" s="38"/>
      <c r="Q147" s="38"/>
      <c r="R147" s="38"/>
      <c r="S147" s="38"/>
    </row>
    <row r="148" spans="2:19" x14ac:dyDescent="0.25">
      <c r="B148" s="38"/>
      <c r="C148" s="38"/>
      <c r="D148" s="38"/>
      <c r="E148" s="38"/>
      <c r="F148" s="38"/>
      <c r="G148" s="38"/>
      <c r="H148" s="38"/>
      <c r="I148" s="38"/>
      <c r="J148" s="38"/>
      <c r="K148" s="38"/>
      <c r="L148" s="38"/>
      <c r="M148" s="38"/>
      <c r="N148" s="38"/>
      <c r="O148" s="38"/>
      <c r="P148" s="38"/>
      <c r="Q148" s="38"/>
      <c r="R148" s="38"/>
      <c r="S148" s="38"/>
    </row>
    <row r="149" spans="2:19" x14ac:dyDescent="0.25">
      <c r="B149" s="38"/>
      <c r="C149" s="38"/>
      <c r="D149" s="38"/>
      <c r="E149" s="38"/>
      <c r="F149" s="38"/>
      <c r="G149" s="38"/>
      <c r="H149" s="38"/>
      <c r="I149" s="38"/>
      <c r="J149" s="38"/>
      <c r="K149" s="38"/>
      <c r="L149" s="38"/>
      <c r="M149" s="38"/>
      <c r="N149" s="38"/>
      <c r="O149" s="38"/>
      <c r="P149" s="38"/>
      <c r="Q149" s="38"/>
      <c r="R149" s="38"/>
      <c r="S149" s="38"/>
    </row>
    <row r="150" spans="2:19" x14ac:dyDescent="0.25">
      <c r="B150" s="38"/>
      <c r="C150" s="38"/>
      <c r="D150" s="38"/>
      <c r="E150" s="38"/>
      <c r="F150" s="38"/>
      <c r="G150" s="38"/>
      <c r="H150" s="38"/>
      <c r="I150" s="38"/>
      <c r="J150" s="38"/>
      <c r="K150" s="38"/>
      <c r="L150" s="38"/>
      <c r="M150" s="38"/>
      <c r="N150" s="38"/>
      <c r="O150" s="38"/>
      <c r="P150" s="38"/>
      <c r="Q150" s="38"/>
      <c r="R150" s="38"/>
      <c r="S150" s="38"/>
    </row>
    <row r="151" spans="2:19" x14ac:dyDescent="0.25">
      <c r="B151" s="38"/>
      <c r="C151" s="38"/>
      <c r="D151" s="38"/>
      <c r="E151" s="38"/>
      <c r="F151" s="38"/>
      <c r="G151" s="38"/>
      <c r="H151" s="38"/>
      <c r="I151" s="38"/>
      <c r="J151" s="38"/>
      <c r="K151" s="38"/>
      <c r="L151" s="38"/>
      <c r="M151" s="38"/>
      <c r="N151" s="38"/>
      <c r="O151" s="38"/>
      <c r="P151" s="38"/>
      <c r="Q151" s="38"/>
      <c r="R151" s="38"/>
      <c r="S151" s="38"/>
    </row>
    <row r="152" spans="2:19" x14ac:dyDescent="0.25">
      <c r="B152" s="38"/>
      <c r="C152" s="38"/>
      <c r="D152" s="38"/>
      <c r="E152" s="38"/>
      <c r="F152" s="38"/>
      <c r="G152" s="38"/>
      <c r="H152" s="38"/>
      <c r="I152" s="38"/>
      <c r="J152" s="38"/>
      <c r="K152" s="38"/>
      <c r="L152" s="38"/>
      <c r="M152" s="38"/>
      <c r="N152" s="38"/>
      <c r="O152" s="38"/>
      <c r="P152" s="38"/>
      <c r="Q152" s="38"/>
      <c r="R152" s="38"/>
      <c r="S152" s="38"/>
    </row>
    <row r="216" spans="1:4" x14ac:dyDescent="0.25">
      <c r="A216" s="33" t="s">
        <v>126</v>
      </c>
    </row>
    <row r="218" spans="1:4" x14ac:dyDescent="0.25">
      <c r="A218" s="33">
        <f>IF(AND(InputSheet!$E$8&lt;=InputSheet!B37,InputSheet!$E$8&gt;=InputSheet!B38),((InputSheet!$E$8-InputSheet!B37)*((InputSheet!A38-InputSheet!A37)/(InputSheet!B38-InputSheet!B37)))+InputSheet!A37,0)</f>
        <v>0</v>
      </c>
      <c r="B218" s="34"/>
    </row>
    <row r="219" spans="1:4" x14ac:dyDescent="0.25">
      <c r="A219" s="33">
        <f>IF(AND(InputSheet!$E$8&lt;=InputSheet!B38,InputSheet!$E$8&gt;=InputSheet!B39),((InputSheet!$E$8-InputSheet!B38)*((InputSheet!A39-InputSheet!A38)/(InputSheet!B39-InputSheet!B38)))+InputSheet!A38,0)</f>
        <v>0</v>
      </c>
      <c r="B219" s="34"/>
    </row>
    <row r="220" spans="1:4" x14ac:dyDescent="0.25">
      <c r="A220" s="33">
        <f>IF(AND(InputSheet!$E$8&lt;=InputSheet!B39,InputSheet!$E$8&gt;=InputSheet!B40),((InputSheet!$E$8-InputSheet!B39)*((InputSheet!A40-InputSheet!A39)/(InputSheet!B40-InputSheet!B39)))+InputSheet!A39,0)</f>
        <v>0</v>
      </c>
      <c r="B220" s="34"/>
    </row>
    <row r="221" spans="1:4" x14ac:dyDescent="0.25">
      <c r="A221" s="33">
        <f>IF(AND(InputSheet!$E$8&lt;=InputSheet!B40,InputSheet!$E$8&gt;=InputSheet!B41),((InputSheet!$E$8-InputSheet!B40)*((InputSheet!A41-InputSheet!A40)/(InputSheet!B41-InputSheet!B40)))+InputSheet!A40,0)</f>
        <v>0</v>
      </c>
      <c r="B221" s="34"/>
    </row>
    <row r="222" spans="1:4" x14ac:dyDescent="0.25">
      <c r="A222" s="33">
        <f>IF(AND(InputSheet!$E$8&lt;=InputSheet!B41,InputSheet!$E$8&gt;=InputSheet!B42),((InputSheet!$E$8-InputSheet!B41)*((InputSheet!A42-InputSheet!A41)/(InputSheet!B42-InputSheet!B41)))+InputSheet!A41,0)</f>
        <v>0</v>
      </c>
      <c r="B222" s="34"/>
    </row>
    <row r="223" spans="1:4" x14ac:dyDescent="0.25">
      <c r="A223" s="33">
        <f>IF(AND(InputSheet!$E$8&lt;=InputSheet!B42,InputSheet!$E$8&gt;=InputSheet!B43),((InputSheet!$E$8-InputSheet!B42)*((InputSheet!A43-InputSheet!A42)/(InputSheet!B43-InputSheet!B42)))+InputSheet!A42,0)</f>
        <v>0</v>
      </c>
      <c r="B223" s="34"/>
      <c r="C223" s="33">
        <f>SUM(A218:A234)</f>
        <v>485.03781259338854</v>
      </c>
      <c r="D223" s="42" t="e">
        <f>InputSheet!#REF!</f>
        <v>#REF!</v>
      </c>
    </row>
    <row r="224" spans="1:4" x14ac:dyDescent="0.25">
      <c r="A224" s="33">
        <f>IF(AND(InputSheet!$E$8&lt;=InputSheet!B43,InputSheet!$E$8&gt;=InputSheet!B44),((InputSheet!$E$8-InputSheet!B43)*((InputSheet!A44-InputSheet!A43)/(InputSheet!B44-InputSheet!B43)))+InputSheet!A43,0)</f>
        <v>0</v>
      </c>
      <c r="B224" s="34"/>
    </row>
    <row r="225" spans="1:2" x14ac:dyDescent="0.25">
      <c r="A225" s="33">
        <f>IF(AND(InputSheet!$E$8&lt;=InputSheet!B44,InputSheet!$E$8&gt;=InputSheet!B45),((InputSheet!$E$8-InputSheet!B44)*((InputSheet!A45-InputSheet!A44)/(InputSheet!B45-InputSheet!B44)))+InputSheet!A44,0)</f>
        <v>0</v>
      </c>
      <c r="B225" s="34"/>
    </row>
    <row r="226" spans="1:2" x14ac:dyDescent="0.25">
      <c r="A226" s="33">
        <f>IF(AND(InputSheet!$E$8&lt;=InputSheet!B45,InputSheet!$E$8&gt;=InputSheet!B46),((InputSheet!$E$8-InputSheet!B45)*((InputSheet!A46-InputSheet!A45)/(InputSheet!B46-InputSheet!B45)))+InputSheet!A45,0)</f>
        <v>485.03781259338854</v>
      </c>
      <c r="B226" s="34"/>
    </row>
    <row r="227" spans="1:2" x14ac:dyDescent="0.25">
      <c r="A227" s="33">
        <f>IF(AND(InputSheet!$E$8&lt;=InputSheet!B46,InputSheet!$E$8&gt;=InputSheet!B47),((InputSheet!$E$8-InputSheet!B46)*((InputSheet!A47-InputSheet!A46)/(InputSheet!B47-InputSheet!B46)))+InputSheet!A46,0)</f>
        <v>0</v>
      </c>
      <c r="B227" s="34"/>
    </row>
    <row r="228" spans="1:2" x14ac:dyDescent="0.25">
      <c r="A228" s="33">
        <f>IF(AND(InputSheet!$E$8&lt;=InputSheet!B47,InputSheet!$E$8&gt;=InputSheet!B48),((InputSheet!$E$8-InputSheet!B47)*((InputSheet!A48-InputSheet!A47)/(InputSheet!B48-InputSheet!B47)))+InputSheet!A47,0)</f>
        <v>0</v>
      </c>
      <c r="B228" s="34"/>
    </row>
    <row r="229" spans="1:2" x14ac:dyDescent="0.25">
      <c r="A229" s="33">
        <f>IF(AND(InputSheet!$E$8&lt;=InputSheet!B48,InputSheet!$E$8&gt;=InputSheet!B49),((InputSheet!$E$8-InputSheet!B48)*((InputSheet!A49-InputSheet!A48)/(InputSheet!B49-InputSheet!B48)))+InputSheet!A48,0)</f>
        <v>0</v>
      </c>
      <c r="B229" s="34"/>
    </row>
    <row r="230" spans="1:2" x14ac:dyDescent="0.25">
      <c r="A230" s="33">
        <f>IF(AND(InputSheet!$E$8&lt;=InputSheet!B49,InputSheet!$E$8&gt;=InputSheet!B50),((InputSheet!$E$8-InputSheet!B49)*((InputSheet!A50-InputSheet!A49)/(InputSheet!B50-InputSheet!B49)))+InputSheet!A49,0)</f>
        <v>0</v>
      </c>
      <c r="B230" s="34"/>
    </row>
    <row r="231" spans="1:2" x14ac:dyDescent="0.25">
      <c r="A231" s="33">
        <f>IF(AND(InputSheet!$E$8&lt;=InputSheet!B50,InputSheet!$E$8&gt;=InputSheet!B51),((InputSheet!$E$8-InputSheet!B50)*((InputSheet!A51-InputSheet!A50)/(InputSheet!B51-InputSheet!B50)))+InputSheet!A50,0)</f>
        <v>0</v>
      </c>
      <c r="B231" s="34"/>
    </row>
    <row r="232" spans="1:2" x14ac:dyDescent="0.25">
      <c r="A232" s="33">
        <f>IF(AND(InputSheet!$E$8&lt;=InputSheet!B51,InputSheet!$E$8&gt;=InputSheet!B52),((InputSheet!$E$8-InputSheet!B51)*((InputSheet!A52-InputSheet!A51)/(InputSheet!B52-InputSheet!B51)))+InputSheet!A51,0)</f>
        <v>0</v>
      </c>
    </row>
    <row r="233" spans="1:2" x14ac:dyDescent="0.25">
      <c r="A233" s="33">
        <f>IF(AND(InputSheet!$E$8&lt;=InputSheet!B52,InputSheet!$E$8&gt;=InputSheet!B53),((InputSheet!$E$8-InputSheet!B52)*((InputSheet!A53-InputSheet!A52)/(InputSheet!B53-InputSheet!B52)))+InputSheet!A52,0)</f>
        <v>0</v>
      </c>
    </row>
    <row r="234" spans="1:2" x14ac:dyDescent="0.25">
      <c r="A234" s="33">
        <f>IF(AND(InputSheet!$E$8&lt;=InputSheet!B53,InputSheet!$E$8&gt;=InputSheet!B54),((InputSheet!$E$8-InputSheet!B53)*((InputSheet!A54-InputSheet!A53)/(InputSheet!B54-InputSheet!B53)))+InputSheet!A53,0)</f>
        <v>0</v>
      </c>
    </row>
  </sheetData>
  <sheetProtection algorithmName="SHA-512" hashValue="D4P+Xs8K6jeP3kbjhnKQu+7yJXlMTZWXOEAG3/Sq4CTajemrVHOGS31c7UnuGxLlwUDiLeRIr4OtEPpy4Op6iA==" saltValue="MYg1acrlT0oxjCsIL1jQyg==" spinCount="100000" sheet="1" formatCells="0" formatColumns="0" formatRows="0" insertColumns="0" insertRows="0" insertHyperlinks="0" deleteColumns="0" deleteRows="0" sort="0" autoFilter="0" pivotTables="0"/>
  <mergeCells count="1">
    <mergeCell ref="A3:C3"/>
  </mergeCells>
  <dataValidations disablePrompts="1" count="2">
    <dataValidation type="list" allowBlank="1" showInputMessage="1" showErrorMessage="1" sqref="U119" xr:uid="{00000000-0002-0000-0200-000000000000}">
      <formula1>College</formula1>
    </dataValidation>
    <dataValidation type="list" allowBlank="1" showInputMessage="1" showErrorMessage="1" sqref="V118" xr:uid="{00000000-0002-0000-0200-000001000000}">
      <formula1>Prices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InputSheet</vt:lpstr>
      <vt:lpstr>DataBase</vt:lpstr>
      <vt:lpstr>College</vt:lpstr>
      <vt:lpstr>Prices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M Alawad</dc:creator>
  <cp:lastModifiedBy>Clay Joshua Naito</cp:lastModifiedBy>
  <cp:lastPrinted>2018-02-27T20:57:05Z</cp:lastPrinted>
  <dcterms:created xsi:type="dcterms:W3CDTF">2016-10-19T14:41:13Z</dcterms:created>
  <dcterms:modified xsi:type="dcterms:W3CDTF">2018-03-16T19:22:11Z</dcterms:modified>
</cp:coreProperties>
</file>